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PA19 BOOR" sheetId="27" r:id="rId1"/>
  </sheets>
  <definedNames>
    <definedName name="aile">'PA19 BOOR'!#REF!</definedName>
    <definedName name="bagages">'PA19 BOOR'!$E$76</definedName>
    <definedName name="brasCG">'PA19 BOOR'!$D$66</definedName>
    <definedName name="central">'PA19 BOOR'!$E$77</definedName>
    <definedName name="conso65">'PA19 BOOR'!#REF!</definedName>
    <definedName name="conso75">'PA19 BOOR'!#REF!</definedName>
    <definedName name="date">'PA19 BOOR'!$D$57</definedName>
    <definedName name="immat">'PA19 BOOR'!$D$56</definedName>
    <definedName name="inutiles">'PA19 BOOR'!#REF!</definedName>
    <definedName name="poidsmax">'PA19 BOOR'!$E$73</definedName>
    <definedName name="supplt">'PA19 BOOR'!#REF!</definedName>
    <definedName name="type">'PA19 BOOR'!$D$55</definedName>
    <definedName name="vide">'PA19 BOOR'!$E$66</definedName>
    <definedName name="_xlnm.Print_Area" localSheetId="0">'PA19 BOOR'!$B$1:$F$43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7" l="1"/>
  <c r="E18" i="27" l="1"/>
  <c r="D14" i="27"/>
  <c r="C14" i="27"/>
  <c r="B2" i="27"/>
  <c r="B3" i="27" l="1"/>
  <c r="E6" i="27"/>
  <c r="F13" i="27"/>
  <c r="F14" i="27"/>
  <c r="F15" i="27"/>
  <c r="E7" i="27"/>
  <c r="F19" i="27"/>
  <c r="F20" i="27"/>
  <c r="F21" i="27"/>
  <c r="D22" i="27"/>
  <c r="E4" i="27"/>
  <c r="B21" i="27"/>
  <c r="E5" i="27"/>
  <c r="F1" i="27"/>
  <c r="F22" i="27" l="1"/>
  <c r="F16" i="27"/>
  <c r="C12" i="27" s="1"/>
  <c r="F9" i="27" l="1"/>
  <c r="F10" i="27" s="1"/>
  <c r="D16" i="27" s="1"/>
  <c r="C16" i="27"/>
  <c r="D18" i="27" l="1"/>
  <c r="F18" i="27" l="1"/>
  <c r="F23" i="27" s="1"/>
  <c r="D23" i="27"/>
  <c r="E72" i="27" s="1"/>
  <c r="D72" i="27" l="1"/>
  <c r="E23" i="27"/>
  <c r="H25" i="27" s="1"/>
  <c r="I25" i="27" s="1"/>
</calcChain>
</file>

<file path=xl/sharedStrings.xml><?xml version="1.0" encoding="utf-8"?>
<sst xmlns="http://schemas.openxmlformats.org/spreadsheetml/2006/main" count="73" uniqueCount="72">
  <si>
    <t>Litres</t>
  </si>
  <si>
    <t>Masse (kg)</t>
  </si>
  <si>
    <t>Bras de levier (m)</t>
  </si>
  <si>
    <t>Avion vide</t>
  </si>
  <si>
    <t>Total départ</t>
  </si>
  <si>
    <t>Bras de levier</t>
  </si>
  <si>
    <t xml:space="preserve">Masse </t>
  </si>
  <si>
    <t>Calcul</t>
  </si>
  <si>
    <t>Moment (m.kg)</t>
  </si>
  <si>
    <t>Poids max</t>
  </si>
  <si>
    <t>zones à saisir</t>
  </si>
  <si>
    <t>Zone de travail ; ne pas toucher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</si>
  <si>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</si>
  <si>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</si>
  <si>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</si>
  <si>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</si>
  <si>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</si>
  <si>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</si>
  <si>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</si>
  <si>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</si>
  <si>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</si>
  <si>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</si>
  <si>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</si>
  <si>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</si>
  <si>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</si>
  <si>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</si>
  <si>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</si>
  <si>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</si>
  <si>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t>Formule</t>
  </si>
  <si>
    <t>Résultat</t>
  </si>
  <si>
    <t>aux roues principales</t>
  </si>
  <si>
    <t>Mise à niveau:</t>
  </si>
  <si>
    <t>Référence:</t>
  </si>
  <si>
    <t>Masse mesurée</t>
  </si>
  <si>
    <t>Masse(kg)</t>
  </si>
  <si>
    <t>CORRECTION</t>
  </si>
  <si>
    <t>Masse à vide corrigée</t>
  </si>
  <si>
    <t>Niveau</t>
  </si>
  <si>
    <t>Réf</t>
  </si>
  <si>
    <t>d</t>
  </si>
  <si>
    <t>D</t>
  </si>
  <si>
    <t xml:space="preserve">Bagages </t>
  </si>
  <si>
    <t>Carburant Ailes</t>
  </si>
  <si>
    <t>Roue G</t>
  </si>
  <si>
    <t>Roue D</t>
  </si>
  <si>
    <t>AV bas</t>
  </si>
  <si>
    <t>AV haut</t>
  </si>
  <si>
    <t>MOYEN</t>
  </si>
  <si>
    <t>AR haut</t>
  </si>
  <si>
    <t>AR bas</t>
  </si>
  <si>
    <t>Ex Pesée</t>
  </si>
  <si>
    <t>Visa:</t>
  </si>
  <si>
    <t>Pesée Précédente:</t>
  </si>
  <si>
    <t>RAPPORT DE PESEE DU</t>
  </si>
  <si>
    <t>Pesée</t>
  </si>
  <si>
    <t>PIPER PA 19</t>
  </si>
  <si>
    <t>F-BOOR</t>
  </si>
  <si>
    <t>Plombage vertical au repère</t>
  </si>
  <si>
    <t>Bord d'attaque de l'aile</t>
  </si>
  <si>
    <t>Roue AR</t>
  </si>
  <si>
    <t>X = d+D1</t>
  </si>
  <si>
    <t xml:space="preserve">D1 = [( p2 x D ) / M] </t>
  </si>
  <si>
    <t>Roue Arrière (P2)</t>
  </si>
  <si>
    <t>Carburant</t>
  </si>
  <si>
    <t>Passager AR</t>
  </si>
  <si>
    <t>Pilote AV</t>
  </si>
  <si>
    <t xml:space="preserve">Essence </t>
  </si>
  <si>
    <t>d = (m)</t>
  </si>
  <si>
    <t>D = (m)</t>
  </si>
  <si>
    <t>Pilote (place AV)</t>
  </si>
  <si>
    <t>Passager (place AR)</t>
  </si>
  <si>
    <t>Moment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</si>
</sst>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>
      <alignment horizontal="center"/>
    </xf>
    <xf numFmtId="0" fontId="23" fillId="0" borderId="35" xfId="0" applyFont="1" applyBorder="1"/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0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8" fillId="1" borderId="18" xfId="0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9.7884763803201685E-2"/>
                  <c:y val="-6.3687247775163325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0,29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0,35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0,53</a:t>
                    </a:r>
                    <a:r>
                      <a:rPr lang="en-US" baseline="0"/>
                      <a:t> </a:t>
                    </a:r>
                    <a:r>
                      <a:rPr lang="en-US"/>
                      <a:t>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'PA19 BOOR'!$D$67:$D$71</c:f>
              <c:numCache>
                <c:formatCode>0.000</c:formatCode>
                <c:ptCount val="5"/>
                <c:pt idx="0">
                  <c:v>0.28999999999999998</c:v>
                </c:pt>
                <c:pt idx="1">
                  <c:v>0.28999999999999998</c:v>
                </c:pt>
                <c:pt idx="2">
                  <c:v>0.35</c:v>
                </c:pt>
                <c:pt idx="3">
                  <c:v>0.53</c:v>
                </c:pt>
                <c:pt idx="4">
                  <c:v>0.53</c:v>
                </c:pt>
              </c:numCache>
            </c:numRef>
          </c:xVal>
          <c:yVal>
            <c:numRef>
              <c:f>'PA19 BOOR'!$E$67:$E$71</c:f>
              <c:numCache>
                <c:formatCode>#,##0.000" kg"</c:formatCode>
                <c:ptCount val="5"/>
                <c:pt idx="0">
                  <c:v>500</c:v>
                </c:pt>
                <c:pt idx="1">
                  <c:v>540</c:v>
                </c:pt>
                <c:pt idx="2" formatCode="0.000&quot; kg&quot;">
                  <c:v>681</c:v>
                </c:pt>
                <c:pt idx="3" formatCode="0.000&quot; kg&quot;">
                  <c:v>681</c:v>
                </c:pt>
                <c:pt idx="4" formatCode="0.000&quot; kg&quot;">
                  <c:v>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'PA19 BOOR'!$D$72:$D$72</c:f>
              <c:numCache>
                <c:formatCode>#,##0.000</c:formatCode>
                <c:ptCount val="1"/>
                <c:pt idx="0">
                  <c:v>0.49173940481704492</c:v>
                </c:pt>
              </c:numCache>
            </c:numRef>
          </c:xVal>
          <c:yVal>
            <c:numRef>
              <c:f>'PA19 BOOR'!$E$72:$E$72</c:f>
              <c:numCache>
                <c:formatCode>#,##0" kg"</c:formatCode>
                <c:ptCount val="1"/>
                <c:pt idx="0">
                  <c:v>690.88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'PA19 BOOR'!$D$66</c:f>
              <c:numCache>
                <c:formatCode>m/d/yyyy</c:formatCode>
                <c:ptCount val="1"/>
              </c:numCache>
            </c:numRef>
          </c:xVal>
          <c:yVal>
            <c:numRef>
              <c:f>'PA19 BOOR'!$E$66</c:f>
              <c:numCache>
                <c:formatCode>#,##0.000" kg"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42528"/>
        <c:axId val="209144448"/>
      </c:scatterChart>
      <c:valAx>
        <c:axId val="209142528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9144448"/>
        <c:crossesAt val="600"/>
        <c:crossBetween val="midCat"/>
        <c:majorUnit val="0.05"/>
        <c:minorUnit val="0.05"/>
      </c:valAx>
      <c:valAx>
        <c:axId val="209144448"/>
        <c:scaling>
          <c:orientation val="minMax"/>
          <c:max val="7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625137047756E-3"/>
              <c:y val="0.38636469410395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9142528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24</xdr:row>
      <xdr:rowOff>12700</xdr:rowOff>
    </xdr:from>
    <xdr:to>
      <xdr:col>5</xdr:col>
      <xdr:colOff>825500</xdr:colOff>
      <xdr:row>41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3</xdr:row>
      <xdr:rowOff>114300</xdr:rowOff>
    </xdr:from>
    <xdr:to>
      <xdr:col>2</xdr:col>
      <xdr:colOff>733946</xdr:colOff>
      <xdr:row>9</xdr:row>
      <xdr:rowOff>104775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42975"/>
          <a:ext cx="2438921" cy="136207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</xdr:row>
      <xdr:rowOff>142875</xdr:rowOff>
    </xdr:from>
    <xdr:to>
      <xdr:col>10</xdr:col>
      <xdr:colOff>542926</xdr:colOff>
      <xdr:row>10</xdr:row>
      <xdr:rowOff>85725</xdr:rowOff>
    </xdr:to>
    <xdr:sp macro="" textlink="">
      <xdr:nvSpPr>
        <xdr:cNvPr id="5" name="ZoneTexte 4"/>
        <xdr:cNvSpPr txBox="1"/>
      </xdr:nvSpPr>
      <xdr:spPr>
        <a:xfrm>
          <a:off x="7000875" y="390525"/>
          <a:ext cx="2971801" cy="2124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21" zoomScaleNormal="100" workbookViewId="0">
      <selection activeCell="C23" sqref="C23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6" width="19.42578125" customWidth="1"/>
    <col min="7" max="7" width="2.85546875" style="7" customWidth="1"/>
    <col min="8" max="8" width="15.285156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5"/>
      <c r="C1" s="101" t="s">
        <v>53</v>
      </c>
      <c r="D1" s="102"/>
      <c r="E1" s="102"/>
      <c r="F1" s="96">
        <f>date</f>
        <v>43525</v>
      </c>
    </row>
    <row r="2" spans="2:8" ht="25.5" customHeight="1" x14ac:dyDescent="0.35">
      <c r="B2" s="113" t="str">
        <f>"Aéronef concerné: "&amp;type&amp;" / "&amp;immat&amp;""</f>
        <v>Aéronef concerné: PIPER PA 19 / F-BOOR</v>
      </c>
      <c r="C2" s="114"/>
      <c r="D2" s="114"/>
      <c r="E2" s="114"/>
      <c r="F2" s="115"/>
      <c r="H2" s="8"/>
    </row>
    <row r="3" spans="2:8" ht="20.25" customHeight="1" thickBot="1" x14ac:dyDescent="0.35">
      <c r="B3" s="116" t="str">
        <f>"Masse maxi "&amp;poidsmax&amp;" kg"</f>
        <v>Masse maxi 681 kg</v>
      </c>
      <c r="C3" s="117"/>
      <c r="D3" s="118"/>
      <c r="E3" s="118"/>
      <c r="F3" s="119"/>
      <c r="H3" s="9"/>
    </row>
    <row r="4" spans="2:8" s="6" customFormat="1" ht="18" customHeight="1" x14ac:dyDescent="0.2">
      <c r="B4" s="104"/>
      <c r="C4" s="105"/>
      <c r="D4" s="57" t="s">
        <v>31</v>
      </c>
      <c r="E4" s="107" t="str">
        <f>D59</f>
        <v>Plombage vertical au repère</v>
      </c>
      <c r="F4" s="108"/>
      <c r="G4" s="5"/>
      <c r="H4" s="5"/>
    </row>
    <row r="5" spans="2:8" s="6" customFormat="1" ht="18" customHeight="1" x14ac:dyDescent="0.2">
      <c r="B5" s="106"/>
      <c r="C5" s="105"/>
      <c r="D5" s="58" t="s">
        <v>32</v>
      </c>
      <c r="E5" s="109" t="str">
        <f>D60</f>
        <v>Bord d'attaque de l'aile</v>
      </c>
      <c r="F5" s="110"/>
      <c r="G5" s="5"/>
      <c r="H5" s="5"/>
    </row>
    <row r="6" spans="2:8" s="6" customFormat="1" ht="18" customHeight="1" x14ac:dyDescent="0.2">
      <c r="B6" s="106"/>
      <c r="C6" s="105"/>
      <c r="D6" s="12" t="s">
        <v>67</v>
      </c>
      <c r="E6" s="111">
        <f>D61</f>
        <v>6.9000000000000006E-2</v>
      </c>
      <c r="F6" s="112"/>
      <c r="G6" s="5"/>
      <c r="H6" s="5"/>
    </row>
    <row r="7" spans="2:8" s="6" customFormat="1" ht="18" customHeight="1" thickBot="1" x14ac:dyDescent="0.25">
      <c r="B7" s="106"/>
      <c r="C7" s="105"/>
      <c r="D7" s="18" t="s">
        <v>68</v>
      </c>
      <c r="E7" s="109">
        <f>D62</f>
        <v>5.0999999999999996</v>
      </c>
      <c r="F7" s="110"/>
      <c r="G7" s="5"/>
      <c r="H7" s="5"/>
    </row>
    <row r="8" spans="2:8" s="6" customFormat="1" ht="18" customHeight="1" x14ac:dyDescent="0.2">
      <c r="B8" s="106"/>
      <c r="C8" s="105"/>
      <c r="D8" s="60" t="s">
        <v>26</v>
      </c>
      <c r="E8" s="61" t="s">
        <v>28</v>
      </c>
      <c r="F8" s="65" t="s">
        <v>29</v>
      </c>
      <c r="G8" s="5"/>
      <c r="H8" s="5"/>
    </row>
    <row r="9" spans="2:8" s="6" customFormat="1" ht="18" customHeight="1" x14ac:dyDescent="0.2">
      <c r="B9" s="106"/>
      <c r="C9" s="105"/>
      <c r="D9" s="55" t="s">
        <v>30</v>
      </c>
      <c r="E9" s="59" t="s">
        <v>61</v>
      </c>
      <c r="F9" s="75">
        <f>(F15*E7)/F16</f>
        <v>0.37613882863340559</v>
      </c>
      <c r="G9" s="5"/>
      <c r="H9" s="5"/>
    </row>
    <row r="10" spans="2:8" s="6" customFormat="1" ht="18" customHeight="1" thickBot="1" x14ac:dyDescent="0.25">
      <c r="B10" s="106"/>
      <c r="C10" s="105"/>
      <c r="D10" s="58" t="s">
        <v>27</v>
      </c>
      <c r="E10" s="62" t="s">
        <v>60</v>
      </c>
      <c r="F10" s="76">
        <f>E6+F9</f>
        <v>0.44513882863340559</v>
      </c>
      <c r="G10" s="5"/>
      <c r="H10" s="5"/>
    </row>
    <row r="11" spans="2:8" s="6" customFormat="1" ht="18" customHeight="1" x14ac:dyDescent="0.2">
      <c r="B11" s="56" t="s">
        <v>35</v>
      </c>
      <c r="C11" s="61" t="s">
        <v>34</v>
      </c>
      <c r="D11" s="65" t="s">
        <v>71</v>
      </c>
      <c r="E11" s="120" t="s">
        <v>21</v>
      </c>
      <c r="F11" s="121"/>
      <c r="G11" s="5"/>
      <c r="H11" s="5"/>
    </row>
    <row r="12" spans="2:8" s="6" customFormat="1" ht="18" customHeight="1" x14ac:dyDescent="0.2">
      <c r="B12" s="54" t="s">
        <v>33</v>
      </c>
      <c r="C12" s="59">
        <f>F16</f>
        <v>461</v>
      </c>
      <c r="D12" s="67">
        <f>C12*F10</f>
        <v>205.20899999999997</v>
      </c>
      <c r="E12" s="63" t="s">
        <v>25</v>
      </c>
      <c r="F12" s="77" t="s">
        <v>24</v>
      </c>
      <c r="G12" s="5"/>
      <c r="H12" s="5"/>
    </row>
    <row r="13" spans="2:8" s="6" customFormat="1" ht="18" customHeight="1" x14ac:dyDescent="0.2">
      <c r="B13" s="54"/>
      <c r="C13" s="59"/>
      <c r="D13" s="67"/>
      <c r="E13" s="64" t="s">
        <v>22</v>
      </c>
      <c r="F13" s="78">
        <f>D63</f>
        <v>213</v>
      </c>
      <c r="G13" s="5"/>
      <c r="H13" s="5"/>
    </row>
    <row r="14" spans="2:8" s="6" customFormat="1" ht="18" customHeight="1" x14ac:dyDescent="0.2">
      <c r="B14" s="54" t="s">
        <v>42</v>
      </c>
      <c r="C14" s="59">
        <f>central*0.72</f>
        <v>0</v>
      </c>
      <c r="D14" s="67">
        <f>central*D77</f>
        <v>0</v>
      </c>
      <c r="E14" s="64" t="s">
        <v>23</v>
      </c>
      <c r="F14" s="78">
        <f>D64</f>
        <v>214</v>
      </c>
      <c r="G14" s="5"/>
      <c r="H14" s="5"/>
    </row>
    <row r="15" spans="2:8" s="6" customFormat="1" ht="18" customHeight="1" x14ac:dyDescent="0.2">
      <c r="B15" s="54"/>
      <c r="C15" s="79"/>
      <c r="D15" s="67"/>
      <c r="E15" s="64" t="s">
        <v>62</v>
      </c>
      <c r="F15" s="78">
        <f>D65</f>
        <v>34</v>
      </c>
      <c r="G15" s="5"/>
      <c r="H15" s="5"/>
    </row>
    <row r="16" spans="2:8" s="6" customFormat="1" ht="18" customHeight="1" thickBot="1" x14ac:dyDescent="0.25">
      <c r="B16" s="80" t="s">
        <v>36</v>
      </c>
      <c r="C16" s="62">
        <f>C12-C13-C14-C15</f>
        <v>461</v>
      </c>
      <c r="D16" s="81">
        <f>D12-D13-D14-D15</f>
        <v>205.20899999999997</v>
      </c>
      <c r="E16" s="66" t="s">
        <v>33</v>
      </c>
      <c r="F16" s="82">
        <f>(F13+F14+F15)</f>
        <v>461</v>
      </c>
      <c r="G16" s="5"/>
      <c r="H16" s="5"/>
    </row>
    <row r="17" spans="2:10" ht="18" x14ac:dyDescent="0.25">
      <c r="B17" s="50"/>
      <c r="C17" s="51" t="s">
        <v>0</v>
      </c>
      <c r="D17" s="52" t="s">
        <v>1</v>
      </c>
      <c r="E17" s="52" t="s">
        <v>2</v>
      </c>
      <c r="F17" s="53" t="s">
        <v>8</v>
      </c>
      <c r="G17" s="10"/>
      <c r="H17" s="11"/>
    </row>
    <row r="18" spans="2:10" s="6" customFormat="1" ht="19.5" customHeight="1" x14ac:dyDescent="0.2">
      <c r="B18" s="12" t="s">
        <v>3</v>
      </c>
      <c r="C18" s="134"/>
      <c r="D18" s="135">
        <f>C16</f>
        <v>461</v>
      </c>
      <c r="E18" s="3">
        <f>(D16/C16)</f>
        <v>0.44513882863340559</v>
      </c>
      <c r="F18" s="4">
        <f t="shared" ref="F18:F22" si="0">IF(D18&lt;&gt;"",E18*D18,"")</f>
        <v>205.20899999999997</v>
      </c>
      <c r="G18" s="5"/>
      <c r="H18" s="5"/>
    </row>
    <row r="19" spans="2:10" s="6" customFormat="1" ht="19.5" customHeight="1" x14ac:dyDescent="0.2">
      <c r="B19" s="12" t="s">
        <v>69</v>
      </c>
      <c r="C19" s="134"/>
      <c r="D19" s="131">
        <v>77</v>
      </c>
      <c r="E19" s="3">
        <v>0.28000000000000003</v>
      </c>
      <c r="F19" s="4">
        <f t="shared" si="0"/>
        <v>21.560000000000002</v>
      </c>
      <c r="G19" s="5"/>
      <c r="H19" s="13"/>
    </row>
    <row r="20" spans="2:10" s="6" customFormat="1" ht="19.5" customHeight="1" x14ac:dyDescent="0.2">
      <c r="B20" s="12" t="s">
        <v>70</v>
      </c>
      <c r="C20" s="134"/>
      <c r="D20" s="131">
        <v>60</v>
      </c>
      <c r="E20" s="3">
        <v>0.94</v>
      </c>
      <c r="F20" s="4">
        <f t="shared" si="0"/>
        <v>56.4</v>
      </c>
      <c r="G20" s="5"/>
      <c r="H20" s="5"/>
    </row>
    <row r="21" spans="2:10" s="6" customFormat="1" ht="19.5" customHeight="1" x14ac:dyDescent="0.2">
      <c r="B21" s="12" t="str">
        <f>"Bagages"</f>
        <v>Bagages</v>
      </c>
      <c r="C21" s="134"/>
      <c r="D21" s="131">
        <v>0</v>
      </c>
      <c r="E21" s="3">
        <v>1.45</v>
      </c>
      <c r="F21" s="4">
        <f t="shared" si="0"/>
        <v>0</v>
      </c>
      <c r="G21" s="5"/>
      <c r="H21" s="14"/>
    </row>
    <row r="22" spans="2:10" s="6" customFormat="1" ht="19.5" customHeight="1" x14ac:dyDescent="0.2">
      <c r="B22" s="55" t="s">
        <v>63</v>
      </c>
      <c r="C22" s="132">
        <v>129</v>
      </c>
      <c r="D22" s="133">
        <f>IF(C22&lt;&gt;"",C22*0.72,"")</f>
        <v>92.88</v>
      </c>
      <c r="E22" s="3">
        <v>0.60899999999999999</v>
      </c>
      <c r="F22" s="4">
        <f t="shared" si="0"/>
        <v>56.563919999999996</v>
      </c>
      <c r="G22" s="5"/>
      <c r="H22" s="14"/>
    </row>
    <row r="23" spans="2:10" s="6" customFormat="1" ht="19.5" customHeight="1" thickBot="1" x14ac:dyDescent="0.25">
      <c r="B23" s="15" t="s">
        <v>4</v>
      </c>
      <c r="C23" s="16"/>
      <c r="D23" s="68">
        <f>SUM(D18:D22)</f>
        <v>690.88</v>
      </c>
      <c r="E23" s="68">
        <f>F23/D23</f>
        <v>0.49173940481704492</v>
      </c>
      <c r="F23" s="69">
        <f>SUM(F18:F22)</f>
        <v>339.73291999999998</v>
      </c>
      <c r="G23" s="5"/>
      <c r="H23" s="14"/>
    </row>
    <row r="24" spans="2:10" s="6" customFormat="1" ht="19.5" customHeight="1" x14ac:dyDescent="0.25">
      <c r="B24" s="37"/>
      <c r="C24" s="38"/>
      <c r="D24" s="39"/>
      <c r="E24" s="39"/>
      <c r="F24" s="40"/>
      <c r="G24" s="5"/>
      <c r="H24" s="14"/>
    </row>
    <row r="25" spans="2:10" s="17" customFormat="1" ht="19.5" customHeight="1" x14ac:dyDescent="0.3">
      <c r="B25" s="41"/>
      <c r="C25" s="42"/>
      <c r="D25"/>
      <c r="E25"/>
      <c r="F25" s="43"/>
      <c r="G25" s="1"/>
      <c r="H25" s="2" t="str">
        <f>IF(D23&gt;poidsmax,"Trop lourd !",IF(OR(E23&gt;D70,E23&lt;D67),"Hors centrage !",""))</f>
        <v>Trop lourd !</v>
      </c>
      <c r="I25" s="123">
        <f>IF(H25&lt;&gt;"",D23-poidsmax,"")</f>
        <v>9.8799999999999955</v>
      </c>
      <c r="J25" s="123"/>
    </row>
    <row r="26" spans="2:10" ht="17.25" customHeight="1" x14ac:dyDescent="0.3">
      <c r="B26" s="41"/>
      <c r="C26" s="42"/>
      <c r="F26" s="43"/>
    </row>
    <row r="27" spans="2:10" ht="17.25" customHeight="1" x14ac:dyDescent="0.3">
      <c r="B27" s="41"/>
      <c r="C27" s="42"/>
      <c r="F27" s="43"/>
    </row>
    <row r="28" spans="2:10" ht="17.25" customHeight="1" x14ac:dyDescent="0.2">
      <c r="B28" s="44"/>
      <c r="F28" s="43"/>
    </row>
    <row r="29" spans="2:10" ht="17.25" customHeight="1" x14ac:dyDescent="0.2">
      <c r="B29" s="44"/>
      <c r="F29" s="43"/>
    </row>
    <row r="30" spans="2:10" ht="17.25" customHeight="1" x14ac:dyDescent="0.2">
      <c r="B30" s="44"/>
      <c r="F30" s="43"/>
    </row>
    <row r="31" spans="2:10" ht="17.25" customHeight="1" x14ac:dyDescent="0.2">
      <c r="B31" s="44"/>
      <c r="F31" s="43"/>
    </row>
    <row r="32" spans="2:10" ht="17.25" customHeight="1" x14ac:dyDescent="0.2">
      <c r="B32" s="44"/>
      <c r="F32" s="43"/>
    </row>
    <row r="33" spans="2:10" ht="17.25" customHeight="1" x14ac:dyDescent="0.2">
      <c r="B33" s="44"/>
      <c r="F33" s="43"/>
    </row>
    <row r="34" spans="2:10" ht="17.25" customHeight="1" x14ac:dyDescent="0.2">
      <c r="B34" s="44"/>
      <c r="F34" s="43"/>
    </row>
    <row r="35" spans="2:10" ht="17.25" customHeight="1" x14ac:dyDescent="0.2">
      <c r="B35" s="44"/>
      <c r="F35" s="43"/>
    </row>
    <row r="36" spans="2:10" ht="17.25" customHeight="1" x14ac:dyDescent="0.2">
      <c r="B36" s="44"/>
      <c r="F36" s="43"/>
    </row>
    <row r="37" spans="2:10" ht="17.25" customHeight="1" x14ac:dyDescent="0.2">
      <c r="B37" s="44"/>
      <c r="F37" s="43"/>
      <c r="H37" s="19"/>
      <c r="I37" s="20"/>
      <c r="J37" s="20"/>
    </row>
    <row r="38" spans="2:10" ht="17.25" customHeight="1" x14ac:dyDescent="0.2">
      <c r="B38" s="44"/>
      <c r="F38" s="43"/>
      <c r="H38" s="19"/>
      <c r="I38" s="20"/>
      <c r="J38" s="20"/>
    </row>
    <row r="39" spans="2:10" ht="17.25" customHeight="1" x14ac:dyDescent="0.2">
      <c r="B39" s="44"/>
      <c r="F39" s="43"/>
    </row>
    <row r="40" spans="2:10" ht="17.25" customHeight="1" x14ac:dyDescent="0.2">
      <c r="B40" s="44"/>
      <c r="F40" s="43"/>
    </row>
    <row r="41" spans="2:10" ht="17.25" customHeight="1" x14ac:dyDescent="0.2">
      <c r="B41" s="44"/>
      <c r="F41" s="43"/>
      <c r="H41" s="21"/>
      <c r="I41" s="22"/>
      <c r="J41" s="23"/>
    </row>
    <row r="42" spans="2:10" ht="17.25" customHeight="1" thickBot="1" x14ac:dyDescent="0.25">
      <c r="B42" s="44"/>
      <c r="F42" s="43"/>
    </row>
    <row r="43" spans="2:10" ht="17.25" customHeight="1" thickBot="1" x14ac:dyDescent="0.25">
      <c r="B43" s="73" t="s">
        <v>51</v>
      </c>
      <c r="C43" s="74"/>
      <c r="D43" s="70" t="s">
        <v>52</v>
      </c>
      <c r="E43" s="71">
        <v>39295</v>
      </c>
      <c r="F43" s="72">
        <v>446</v>
      </c>
    </row>
    <row r="44" spans="2:10" ht="17.25" customHeight="1" x14ac:dyDescent="0.2">
      <c r="B44" s="45" t="s">
        <v>16</v>
      </c>
    </row>
    <row r="45" spans="2:10" ht="28.5" customHeight="1" x14ac:dyDescent="0.2">
      <c r="B45" s="25" t="s">
        <v>14</v>
      </c>
      <c r="C45" s="26"/>
      <c r="D45" s="24"/>
      <c r="E45" s="24"/>
      <c r="F45" s="24"/>
    </row>
    <row r="46" spans="2:10" x14ac:dyDescent="0.2">
      <c r="B46" s="25" t="s">
        <v>15</v>
      </c>
      <c r="C46" s="26"/>
      <c r="D46" s="24"/>
      <c r="E46" s="24"/>
      <c r="F46" s="24"/>
    </row>
    <row r="47" spans="2:10" s="24" customFormat="1" ht="17.25" customHeight="1" x14ac:dyDescent="0.2">
      <c r="B47"/>
      <c r="C47" s="7"/>
      <c r="D47"/>
      <c r="E47"/>
      <c r="F47"/>
      <c r="G47" s="26"/>
      <c r="H47" s="26"/>
    </row>
    <row r="48" spans="2:10" s="24" customFormat="1" ht="17.25" customHeight="1" x14ac:dyDescent="0.2">
      <c r="B48" s="46" t="s">
        <v>17</v>
      </c>
      <c r="C48" s="47"/>
      <c r="D48" s="46"/>
      <c r="E48" s="46"/>
      <c r="F48" s="48"/>
      <c r="G48" s="26"/>
      <c r="H48" s="26"/>
    </row>
    <row r="49" spans="1:8" ht="17.25" customHeight="1" x14ac:dyDescent="0.2">
      <c r="B49" s="46" t="s">
        <v>18</v>
      </c>
      <c r="C49" s="47"/>
      <c r="D49" s="46"/>
      <c r="E49" s="46"/>
      <c r="F49" s="49"/>
    </row>
    <row r="50" spans="1:8" s="46" customFormat="1" ht="17.25" customHeight="1" x14ac:dyDescent="0.2">
      <c r="B50" s="27"/>
      <c r="C50" s="7"/>
      <c r="D50"/>
      <c r="E50"/>
      <c r="F50" s="28"/>
      <c r="G50" s="47"/>
      <c r="H50" s="47"/>
    </row>
    <row r="51" spans="1:8" s="46" customFormat="1" ht="17.25" customHeight="1" x14ac:dyDescent="0.2">
      <c r="B51" s="27"/>
      <c r="C51" s="7"/>
      <c r="D51"/>
      <c r="E51"/>
      <c r="F51" s="27"/>
      <c r="G51" s="47"/>
      <c r="H51" s="47"/>
    </row>
    <row r="52" spans="1:8" ht="17.25" customHeight="1" x14ac:dyDescent="0.3">
      <c r="A52" s="27"/>
      <c r="B52" s="27"/>
      <c r="C52" s="124" t="s">
        <v>11</v>
      </c>
      <c r="D52" s="125"/>
      <c r="E52" s="126"/>
      <c r="F52" s="27"/>
    </row>
    <row r="53" spans="1:8" ht="17.25" customHeight="1" x14ac:dyDescent="0.2">
      <c r="A53" s="27"/>
      <c r="B53" s="27"/>
      <c r="C53" s="127" t="s">
        <v>10</v>
      </c>
      <c r="D53" s="128"/>
      <c r="E53" s="129"/>
      <c r="F53" s="27"/>
    </row>
    <row r="54" spans="1:8" ht="17.25" customHeight="1" x14ac:dyDescent="0.2">
      <c r="A54" s="27"/>
      <c r="B54" s="27"/>
      <c r="C54" s="29"/>
      <c r="D54" s="30" t="s">
        <v>5</v>
      </c>
      <c r="E54" s="31" t="s">
        <v>6</v>
      </c>
      <c r="F54" s="27"/>
    </row>
    <row r="55" spans="1:8" ht="17.25" customHeight="1" x14ac:dyDescent="0.2">
      <c r="A55" s="27"/>
      <c r="B55" s="32"/>
      <c r="C55" s="33" t="s">
        <v>12</v>
      </c>
      <c r="D55" s="99" t="s">
        <v>55</v>
      </c>
      <c r="E55" s="103"/>
      <c r="F55" s="32"/>
    </row>
    <row r="56" spans="1:8" ht="17.25" customHeight="1" x14ac:dyDescent="0.2">
      <c r="A56" s="27"/>
      <c r="B56" s="32"/>
      <c r="C56" s="33" t="s">
        <v>13</v>
      </c>
      <c r="D56" s="99" t="s">
        <v>56</v>
      </c>
      <c r="E56" s="130"/>
      <c r="F56" s="32"/>
    </row>
    <row r="57" spans="1:8" s="17" customFormat="1" ht="17.25" customHeight="1" x14ac:dyDescent="0.2">
      <c r="A57" s="32"/>
      <c r="B57" s="32"/>
      <c r="C57" s="33" t="s">
        <v>20</v>
      </c>
      <c r="D57" s="122">
        <v>43525</v>
      </c>
      <c r="E57" s="103"/>
      <c r="F57" s="32"/>
      <c r="G57" s="1"/>
      <c r="H57" s="1"/>
    </row>
    <row r="58" spans="1:8" s="17" customFormat="1" ht="17.25" customHeight="1" x14ac:dyDescent="0.2">
      <c r="A58" s="32"/>
      <c r="B58" s="32"/>
      <c r="C58" s="33" t="s">
        <v>19</v>
      </c>
      <c r="D58" s="99"/>
      <c r="E58" s="103"/>
      <c r="F58" s="32"/>
      <c r="G58" s="1"/>
      <c r="H58" s="1"/>
    </row>
    <row r="59" spans="1:8" s="17" customFormat="1" ht="17.25" customHeight="1" x14ac:dyDescent="0.2">
      <c r="A59" s="32"/>
      <c r="B59" s="32"/>
      <c r="C59" s="33" t="s">
        <v>37</v>
      </c>
      <c r="D59" s="99" t="s">
        <v>57</v>
      </c>
      <c r="E59" s="100"/>
      <c r="F59" s="32"/>
      <c r="G59" s="1"/>
      <c r="H59" s="1"/>
    </row>
    <row r="60" spans="1:8" s="17" customFormat="1" ht="17.25" customHeight="1" x14ac:dyDescent="0.2">
      <c r="A60" s="32"/>
      <c r="B60" s="32"/>
      <c r="C60" s="33" t="s">
        <v>38</v>
      </c>
      <c r="D60" s="99" t="s">
        <v>58</v>
      </c>
      <c r="E60" s="100"/>
      <c r="F60" s="32"/>
      <c r="G60" s="1"/>
      <c r="H60" s="1"/>
    </row>
    <row r="61" spans="1:8" s="17" customFormat="1" ht="17.25" customHeight="1" x14ac:dyDescent="0.2">
      <c r="A61" s="32"/>
      <c r="B61" s="32"/>
      <c r="C61" s="33" t="s">
        <v>39</v>
      </c>
      <c r="D61" s="99">
        <v>6.9000000000000006E-2</v>
      </c>
      <c r="E61" s="100"/>
      <c r="F61" s="32"/>
      <c r="G61" s="1"/>
      <c r="H61" s="1"/>
    </row>
    <row r="62" spans="1:8" s="17" customFormat="1" ht="17.25" customHeight="1" x14ac:dyDescent="0.2">
      <c r="A62" s="32"/>
      <c r="B62" s="32"/>
      <c r="C62" s="33" t="s">
        <v>40</v>
      </c>
      <c r="D62" s="99">
        <v>5.0999999999999996</v>
      </c>
      <c r="E62" s="100"/>
      <c r="F62" s="32"/>
      <c r="G62" s="1"/>
      <c r="H62" s="1"/>
    </row>
    <row r="63" spans="1:8" s="17" customFormat="1" ht="17.25" customHeight="1" x14ac:dyDescent="0.2">
      <c r="A63" s="32"/>
      <c r="B63" s="32"/>
      <c r="C63" s="33" t="s">
        <v>43</v>
      </c>
      <c r="D63" s="99">
        <v>213</v>
      </c>
      <c r="E63" s="100"/>
      <c r="F63" s="32"/>
      <c r="G63" s="1"/>
      <c r="H63" s="1"/>
    </row>
    <row r="64" spans="1:8" s="17" customFormat="1" ht="17.25" customHeight="1" x14ac:dyDescent="0.2">
      <c r="A64" s="32"/>
      <c r="B64" s="32"/>
      <c r="C64" s="33" t="s">
        <v>44</v>
      </c>
      <c r="D64" s="99">
        <v>214</v>
      </c>
      <c r="E64" s="100"/>
      <c r="F64" s="32"/>
      <c r="G64" s="1"/>
      <c r="H64" s="1"/>
    </row>
    <row r="65" spans="1:8" s="17" customFormat="1" ht="17.25" customHeight="1" x14ac:dyDescent="0.2">
      <c r="A65" s="32"/>
      <c r="B65" s="32"/>
      <c r="C65" s="97" t="s">
        <v>59</v>
      </c>
      <c r="D65" s="99">
        <v>34</v>
      </c>
      <c r="E65" s="100"/>
      <c r="F65" s="32"/>
      <c r="G65" s="1"/>
      <c r="H65" s="1"/>
    </row>
    <row r="66" spans="1:8" s="17" customFormat="1" ht="17.25" customHeight="1" x14ac:dyDescent="0.2">
      <c r="A66" s="32"/>
      <c r="B66" s="98" t="s">
        <v>54</v>
      </c>
      <c r="C66" s="34" t="s">
        <v>50</v>
      </c>
      <c r="D66" s="83"/>
      <c r="E66" s="84"/>
      <c r="F66" s="27"/>
      <c r="G66" s="1"/>
      <c r="H66" s="1"/>
    </row>
    <row r="67" spans="1:8" s="17" customFormat="1" ht="17.25" customHeight="1" x14ac:dyDescent="0.2">
      <c r="A67" s="32"/>
      <c r="B67" s="98"/>
      <c r="C67" s="34" t="s">
        <v>45</v>
      </c>
      <c r="D67" s="85">
        <v>0.28999999999999998</v>
      </c>
      <c r="E67" s="84">
        <v>500</v>
      </c>
      <c r="F67" s="27"/>
      <c r="G67" s="1"/>
      <c r="H67" s="1"/>
    </row>
    <row r="68" spans="1:8" ht="17.25" customHeight="1" x14ac:dyDescent="0.2">
      <c r="A68" s="27"/>
      <c r="B68" s="98"/>
      <c r="C68" s="34" t="s">
        <v>46</v>
      </c>
      <c r="D68" s="85">
        <v>0.28999999999999998</v>
      </c>
      <c r="E68" s="84">
        <v>540</v>
      </c>
      <c r="F68" s="27"/>
    </row>
    <row r="69" spans="1:8" ht="17.25" customHeight="1" x14ac:dyDescent="0.2">
      <c r="A69" s="27"/>
      <c r="B69" s="98"/>
      <c r="C69" s="34" t="s">
        <v>47</v>
      </c>
      <c r="D69" s="85">
        <v>0.35</v>
      </c>
      <c r="E69" s="86">
        <v>681</v>
      </c>
      <c r="F69" s="27"/>
    </row>
    <row r="70" spans="1:8" ht="17.25" customHeight="1" x14ac:dyDescent="0.2">
      <c r="A70" s="27"/>
      <c r="B70" s="98"/>
      <c r="C70" s="34" t="s">
        <v>48</v>
      </c>
      <c r="D70" s="85">
        <v>0.53</v>
      </c>
      <c r="E70" s="86">
        <v>681</v>
      </c>
      <c r="F70" s="27"/>
    </row>
    <row r="71" spans="1:8" ht="17.25" customHeight="1" x14ac:dyDescent="0.2">
      <c r="A71" s="27"/>
      <c r="B71" s="98"/>
      <c r="C71" s="34" t="s">
        <v>49</v>
      </c>
      <c r="D71" s="85">
        <v>0.53</v>
      </c>
      <c r="E71" s="86">
        <v>500</v>
      </c>
      <c r="F71" s="27"/>
    </row>
    <row r="72" spans="1:8" ht="17.25" customHeight="1" x14ac:dyDescent="0.2">
      <c r="A72" s="27"/>
      <c r="B72" s="98"/>
      <c r="C72" s="35" t="s">
        <v>7</v>
      </c>
      <c r="D72" s="93">
        <f>F23/D23</f>
        <v>0.49173940481704492</v>
      </c>
      <c r="E72" s="94">
        <f>D23</f>
        <v>690.88</v>
      </c>
      <c r="F72" s="27"/>
    </row>
    <row r="73" spans="1:8" ht="17.25" customHeight="1" x14ac:dyDescent="0.2">
      <c r="A73" s="27"/>
      <c r="B73" s="98"/>
      <c r="C73" s="35" t="s">
        <v>9</v>
      </c>
      <c r="D73" s="90"/>
      <c r="E73" s="88">
        <v>681</v>
      </c>
      <c r="F73" s="27"/>
    </row>
    <row r="74" spans="1:8" ht="17.25" customHeight="1" x14ac:dyDescent="0.2">
      <c r="A74" s="27"/>
      <c r="B74" s="27"/>
      <c r="C74" s="35" t="s">
        <v>65</v>
      </c>
      <c r="D74" s="90">
        <v>0.28000000000000003</v>
      </c>
      <c r="E74" s="88"/>
      <c r="F74" s="27"/>
    </row>
    <row r="75" spans="1:8" ht="17.25" customHeight="1" x14ac:dyDescent="0.2">
      <c r="A75" s="27"/>
      <c r="B75" s="27"/>
      <c r="C75" s="34" t="s">
        <v>64</v>
      </c>
      <c r="D75" s="87">
        <v>0.94</v>
      </c>
      <c r="E75" s="91"/>
      <c r="F75" s="27"/>
    </row>
    <row r="76" spans="1:8" ht="17.25" customHeight="1" x14ac:dyDescent="0.2">
      <c r="A76" s="27"/>
      <c r="B76" s="27"/>
      <c r="C76" s="35" t="s">
        <v>41</v>
      </c>
      <c r="D76" s="87">
        <v>1.45</v>
      </c>
      <c r="E76" s="92"/>
      <c r="F76" s="27"/>
    </row>
    <row r="77" spans="1:8" ht="17.25" customHeight="1" x14ac:dyDescent="0.2">
      <c r="A77" s="27"/>
      <c r="B77" s="27"/>
      <c r="C77" s="35" t="s">
        <v>66</v>
      </c>
      <c r="D77" s="87">
        <v>0.60899999999999999</v>
      </c>
      <c r="E77" s="89"/>
      <c r="G77"/>
      <c r="H77"/>
    </row>
    <row r="78" spans="1:8" ht="17.25" customHeight="1" x14ac:dyDescent="0.2">
      <c r="A78" s="27"/>
      <c r="B78" s="27"/>
      <c r="C78" s="27"/>
      <c r="D78" s="7"/>
      <c r="E78" s="7"/>
      <c r="G78"/>
      <c r="H78"/>
    </row>
    <row r="79" spans="1:8" ht="17.25" customHeight="1" x14ac:dyDescent="0.2">
      <c r="A79" s="27"/>
      <c r="B79" s="27"/>
      <c r="C79" s="27"/>
      <c r="D79" s="7"/>
      <c r="E79" s="7"/>
      <c r="F79" s="27"/>
    </row>
    <row r="80" spans="1:8" ht="17.25" customHeight="1" x14ac:dyDescent="0.2">
      <c r="A80" s="27"/>
      <c r="B80" s="27"/>
      <c r="C80" s="36"/>
      <c r="D80" s="27"/>
      <c r="E80" s="27"/>
      <c r="F80" s="27"/>
    </row>
    <row r="81" spans="1:6" ht="17.25" customHeight="1" x14ac:dyDescent="0.2">
      <c r="A81" s="27"/>
      <c r="B81" s="27"/>
      <c r="C81" s="36"/>
      <c r="D81" s="27"/>
      <c r="E81" s="27"/>
      <c r="F81" s="27"/>
    </row>
    <row r="82" spans="1:6" x14ac:dyDescent="0.2">
      <c r="A82" s="27"/>
    </row>
    <row r="83" spans="1:6" x14ac:dyDescent="0.2">
      <c r="A83" s="27"/>
    </row>
  </sheetData>
  <sheetProtection selectLockedCells="1"/>
  <mergeCells count="24">
    <mergeCell ref="D62:E62"/>
    <mergeCell ref="D61:E61"/>
    <mergeCell ref="D59:E59"/>
    <mergeCell ref="I25:J25"/>
    <mergeCell ref="C52:E52"/>
    <mergeCell ref="C53:E53"/>
    <mergeCell ref="D55:E55"/>
    <mergeCell ref="D56:E56"/>
    <mergeCell ref="B66:B73"/>
    <mergeCell ref="D65:E65"/>
    <mergeCell ref="C1:E1"/>
    <mergeCell ref="D58:E58"/>
    <mergeCell ref="B4:C10"/>
    <mergeCell ref="E4:F4"/>
    <mergeCell ref="E5:F5"/>
    <mergeCell ref="E6:F6"/>
    <mergeCell ref="E7:F7"/>
    <mergeCell ref="B2:F2"/>
    <mergeCell ref="D63:E63"/>
    <mergeCell ref="D64:E64"/>
    <mergeCell ref="B3:F3"/>
    <mergeCell ref="E11:F11"/>
    <mergeCell ref="D57:E57"/>
    <mergeCell ref="D60:E60"/>
  </mergeCells>
  <phoneticPr fontId="2" type="noConversion"/>
  <conditionalFormatting sqref="D23">
    <cfRule type="cellIs" dxfId="3" priority="4" stopIfTrue="1" operator="greaterThan">
      <formula>poidsmax</formula>
    </cfRule>
  </conditionalFormatting>
  <conditionalFormatting sqref="E23">
    <cfRule type="cellIs" dxfId="2" priority="2" stopIfTrue="1" operator="greaterThan">
      <formula>$D$70</formula>
    </cfRule>
    <cfRule type="cellIs" dxfId="1" priority="3" stopIfTrue="1" operator="lessThan">
      <formula>$D$67</formula>
    </cfRule>
  </conditionalFormatting>
  <conditionalFormatting sqref="F23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PA19 BOOR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'PA19 BOOR'!Zone_d_impression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2025-03-16T13:18:04Z</dcterms:modified>
</cp:coreProperties>
</file>