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PIONEER 200 JUJN" sheetId="27" r:id="rId1"/>
  </sheets>
  <definedNames>
    <definedName name="aile">'PIONEER 200 JUJN'!#REF!</definedName>
    <definedName name="bagages">'PIONEER 200 JUJN'!$D$80</definedName>
    <definedName name="brasCG">'PIONEER 200 JUJN'!$D$70</definedName>
    <definedName name="central">'PIONEER 200 JUJN'!$E$82</definedName>
    <definedName name="conso65">'PIONEER 200 JUJN'!#REF!</definedName>
    <definedName name="conso75">'PIONEER 200 JUJN'!#REF!</definedName>
    <definedName name="copilote">'PIONEER 200 JUJN'!$D$79</definedName>
    <definedName name="date">'PIONEER 200 JUJN'!$D$61</definedName>
    <definedName name="essence">'PIONEER 200 JUJN'!$D$82</definedName>
    <definedName name="essenceAux">'PIONEER 200 JUJN'!$D$81</definedName>
    <definedName name="immat">'PIONEER 200 JUJN'!$D$60</definedName>
    <definedName name="inutiles">'PIONEER 200 JUJN'!#REF!</definedName>
    <definedName name="pilote">'PIONEER 200 JUJN'!$D$78</definedName>
    <definedName name="poidsmax">'PIONEER 200 JUJN'!$E$77</definedName>
    <definedName name="ref">'PIONEER 200 JUJN'!$D$64</definedName>
    <definedName name="roueAV">'PIONEER 200 JUJN'!$D$69</definedName>
    <definedName name="roueD">'PIONEER 200 JUJN'!$D$68</definedName>
    <definedName name="roueG">'PIONEER 200 JUJN'!$D$67</definedName>
    <definedName name="supplt">'PIONEER 200 JUJN'!#REF!</definedName>
    <definedName name="tapisserie">'PIONEER 200 JUJN'!#REF!</definedName>
    <definedName name="type">'PIONEER 200 JUJN'!$D$59</definedName>
    <definedName name="vide">'PIONEER 200 JUJN'!$E$70</definedName>
    <definedName name="_xlnm.Print_Area" localSheetId="0">'PIONEER 200 JUJN'!$B$1:$F$47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7" l="1"/>
  <c r="F26" i="27" s="1"/>
  <c r="D25" i="27"/>
  <c r="E26" i="27"/>
  <c r="F18" i="27"/>
  <c r="F17" i="27"/>
  <c r="F16" i="27"/>
  <c r="E25" i="27" l="1"/>
  <c r="E24" i="27"/>
  <c r="E23" i="27"/>
  <c r="E22" i="27"/>
  <c r="E7" i="27"/>
  <c r="E6" i="27"/>
  <c r="E5" i="27"/>
  <c r="B2" i="27"/>
  <c r="B3" i="27"/>
  <c r="F22" i="27" l="1"/>
  <c r="F23" i="27"/>
  <c r="F24" i="27"/>
  <c r="B24" i="27"/>
  <c r="F1" i="27"/>
  <c r="F25" i="27" l="1"/>
  <c r="F27" i="27" s="1"/>
  <c r="F19" i="27"/>
  <c r="F11" i="27" s="1"/>
  <c r="F12" i="27" s="1"/>
  <c r="F13" i="27" s="1"/>
  <c r="C15" i="27" l="1"/>
  <c r="C19" i="27" l="1"/>
  <c r="D21" i="27" s="1"/>
  <c r="D15" i="27"/>
  <c r="D19" i="27" s="1"/>
  <c r="E21" i="27" l="1"/>
  <c r="F21" i="27" s="1"/>
  <c r="D27" i="27"/>
  <c r="E76" i="27" l="1"/>
  <c r="E27" i="27"/>
  <c r="E29" i="27" s="1"/>
  <c r="D76" i="27" s="1"/>
  <c r="H29" i="27" l="1"/>
  <c r="I29" i="27" s="1"/>
</calcChain>
</file>

<file path=xl/sharedStrings.xml><?xml version="1.0" encoding="utf-8"?>
<sst xmlns="http://schemas.openxmlformats.org/spreadsheetml/2006/main" count="77" uniqueCount="74">
  <si>
    <t>Litres</t>
  </si>
  <si>
    <t>Masse (kg)</t>
  </si>
  <si>
    <t>Avion vide</t>
  </si>
  <si>
    <t>Total départ</t>
  </si>
  <si>
    <t>Bras de levier</t>
  </si>
  <si>
    <t xml:space="preserve">Masse </t>
  </si>
  <si>
    <t>Calcul</t>
  </si>
  <si>
    <t>Poids max</t>
  </si>
  <si>
    <t>zones à saisir</t>
  </si>
  <si>
    <t>Zone de travail ; ne pas toucher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</si>
  <si>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</si>
  <si>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</si>
  <si>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</si>
  <si>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</si>
  <si>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</si>
  <si>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</si>
  <si>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</si>
  <si>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</si>
  <si>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</si>
  <si>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</si>
  <si>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</si>
  <si>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</si>
  <si>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</si>
  <si>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</si>
  <si>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</si>
  <si>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t>Formule</t>
  </si>
  <si>
    <t>Résultat</t>
  </si>
  <si>
    <t>aux roues principales</t>
  </si>
  <si>
    <t>Référence:</t>
  </si>
  <si>
    <t>Masse mesurée</t>
  </si>
  <si>
    <t>Masse(kg)</t>
  </si>
  <si>
    <t>CORRECTION</t>
  </si>
  <si>
    <t>Masse à vide corrigée</t>
  </si>
  <si>
    <t>Niveau</t>
  </si>
  <si>
    <t>Réf</t>
  </si>
  <si>
    <t xml:space="preserve">Bagages </t>
  </si>
  <si>
    <t>Roue G</t>
  </si>
  <si>
    <t>Roue D</t>
  </si>
  <si>
    <t>AV bas</t>
  </si>
  <si>
    <t>AV haut</t>
  </si>
  <si>
    <t>MOYEN</t>
  </si>
  <si>
    <t>AR haut</t>
  </si>
  <si>
    <t>AR bas</t>
  </si>
  <si>
    <t>Ex Pesée</t>
  </si>
  <si>
    <t>RAPPORT DE PESEE DU</t>
  </si>
  <si>
    <t>Pesée</t>
  </si>
  <si>
    <t>Carburant</t>
  </si>
  <si>
    <t xml:space="preserve">Essence </t>
  </si>
  <si>
    <t>Roue AV</t>
  </si>
  <si>
    <t>Item addtionnel 1</t>
  </si>
  <si>
    <t>Item additionnel 2</t>
  </si>
  <si>
    <t>Item additionnel 3</t>
  </si>
  <si>
    <t>Cloison Pare-feu</t>
  </si>
  <si>
    <t xml:space="preserve">Pilote </t>
  </si>
  <si>
    <t>Pilote</t>
  </si>
  <si>
    <t>Copilote</t>
  </si>
  <si>
    <t>Moment (mm.kg)</t>
  </si>
  <si>
    <t>PIONEER P200</t>
  </si>
  <si>
    <t>F-JUJN</t>
  </si>
  <si>
    <t>D = (m)</t>
  </si>
  <si>
    <t>d = (m)</t>
  </si>
  <si>
    <t>D</t>
  </si>
  <si>
    <t>d</t>
  </si>
  <si>
    <t>CGd = d-CGp</t>
  </si>
  <si>
    <t>CGp = D.p1/M</t>
  </si>
  <si>
    <t>En % de la corde</t>
  </si>
  <si>
    <t>Corde aéro moyenne (MAC) (m)</t>
  </si>
  <si>
    <t>MAC Leading Edge from Ref. (m)</t>
  </si>
  <si>
    <t>CG(%) = 100*(CGd - MAC L.E)/MAC</t>
  </si>
  <si>
    <t>Bras de levier (m)</t>
  </si>
  <si>
    <t>Moment à la référence (kg.m)</t>
  </si>
  <si>
    <t>Essence Aux</t>
  </si>
  <si>
    <t>Carburant Auxiliaire</t>
  </si>
  <si>
    <t>Position CG (% MAC)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</si>
</sst>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7" fillId="0" borderId="21" xfId="0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167" fontId="27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1" fillId="0" borderId="27" xfId="0" applyFont="1" applyBorder="1"/>
    <xf numFmtId="0" fontId="31" fillId="0" borderId="28" xfId="0" applyFont="1" applyBorder="1"/>
    <xf numFmtId="164" fontId="6" fillId="6" borderId="1" xfId="0" applyNumberFormat="1" applyFont="1" applyFill="1" applyBorder="1" applyAlignment="1">
      <alignment vertical="center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0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8" fillId="1" borderId="1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681248681431E-2"/>
          <c:y val="4.9691480551575469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'PIONEER 200 JUJN'!$D$71:$D$75</c:f>
              <c:numCache>
                <c:formatCode>0.000</c:formatCode>
                <c:ptCount val="5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32</c:v>
                </c:pt>
                <c:pt idx="4">
                  <c:v>32</c:v>
                </c:pt>
              </c:numCache>
            </c:numRef>
          </c:xVal>
          <c:yVal>
            <c:numRef>
              <c:f>'PIONEER 200 JUJN'!$E$71:$E$75</c:f>
              <c:numCache>
                <c:formatCode>#,##0.000" kg"</c:formatCode>
                <c:ptCount val="5"/>
                <c:pt idx="0">
                  <c:v>300</c:v>
                </c:pt>
                <c:pt idx="1">
                  <c:v>472.5</c:v>
                </c:pt>
                <c:pt idx="2" formatCode="0.000&quot; kg&quot;">
                  <c:v>472.5</c:v>
                </c:pt>
                <c:pt idx="3" formatCode="0.000&quot; kg&quot;">
                  <c:v>472.5</c:v>
                </c:pt>
                <c:pt idx="4" formatCode="0.000&quot; kg&quot;">
                  <c:v>300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'PIONEER 200 JUJN'!$D$76:$D$76</c:f>
              <c:numCache>
                <c:formatCode>#,##0.000</c:formatCode>
                <c:ptCount val="1"/>
                <c:pt idx="0">
                  <c:v>27.140195993639857</c:v>
                </c:pt>
              </c:numCache>
            </c:numRef>
          </c:xVal>
          <c:yVal>
            <c:numRef>
              <c:f>'PIONEER 200 JUJN'!$E$76:$E$76</c:f>
              <c:numCache>
                <c:formatCode>#,##0" kg"</c:formatCode>
                <c:ptCount val="1"/>
                <c:pt idx="0">
                  <c:v>429.46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'PIONEER 200 JUJN'!$D$70</c:f>
              <c:numCache>
                <c:formatCode>m/d/yyyy</c:formatCode>
                <c:ptCount val="1"/>
              </c:numCache>
            </c:numRef>
          </c:xVal>
          <c:yVal>
            <c:numRef>
              <c:f>'PIONEER 200 JUJN'!$E$70</c:f>
              <c:numCache>
                <c:formatCode>#,##0.000" kg"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ser>
          <c:idx val="2"/>
          <c:order val="3"/>
          <c:tx>
            <c:v>Avion </c:v>
          </c:tx>
          <c:marker>
            <c:symbol val="none"/>
          </c:marker>
          <c:xVal>
            <c:numRef>
              <c:f>'PIONEER 200 JUJN'!$E$29</c:f>
              <c:numCache>
                <c:formatCode>General</c:formatCode>
                <c:ptCount val="1"/>
                <c:pt idx="0">
                  <c:v>27.140195993639857</c:v>
                </c:pt>
              </c:numCache>
            </c:numRef>
          </c:xVal>
          <c:yVal>
            <c:numRef>
              <c:f>'PIONEER 200 JUJN'!$D$27</c:f>
              <c:numCache>
                <c:formatCode>#,##0.000</c:formatCode>
                <c:ptCount val="1"/>
                <c:pt idx="0">
                  <c:v>429.46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442176"/>
        <c:axId val="175448448"/>
      </c:scatterChart>
      <c:valAx>
        <c:axId val="175442176"/>
        <c:scaling>
          <c:orientation val="minMax"/>
          <c:max val="35"/>
          <c:min val="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Position</a:t>
                </a:r>
                <a:r>
                  <a:rPr lang="fr-FR" baseline="0"/>
                  <a:t> du CG (% MAC)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448448"/>
        <c:crossesAt val="600"/>
        <c:crossBetween val="midCat"/>
      </c:valAx>
      <c:valAx>
        <c:axId val="175448448"/>
        <c:scaling>
          <c:orientation val="minMax"/>
          <c:max val="480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6.6350509728211908E-3"/>
              <c:y val="0.362625519247263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442176"/>
        <c:crossesAt val="0.15"/>
        <c:crossBetween val="midCat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546100</xdr:colOff>
      <xdr:row>29</xdr:row>
      <xdr:rowOff>174625</xdr:rowOff>
    </xdr:from>
    <xdr:to>
      <xdr:col>5</xdr:col>
      <xdr:colOff>104775</xdr:colOff>
      <xdr:row>45</xdr:row>
      <xdr:rowOff>57150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157003</xdr:colOff>
      <xdr:row>3</xdr:row>
      <xdr:rowOff>8281</xdr:rowOff>
    </xdr:from>
    <xdr:to>
      <xdr:col>2</xdr:col>
      <xdr:colOff>549365</xdr:colOff>
      <xdr:row>9</xdr:row>
      <xdr:rowOff>223630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94" y="836542"/>
          <a:ext cx="2090297" cy="1606827"/>
        </a:xfrm>
        <a:prstGeom prst="rect">
          <a:avLst/>
        </a:prstGeom>
      </xdr:spPr>
    </xdr:pic>
    <xdr:clientData/>
  </xdr:twoCellAnchor>
  <xdr:twoCellAnchor>
    <xdr:from>
      <xdr:col>7</xdr:col>
      <xdr:colOff>152398</xdr:colOff>
      <xdr:row>1</xdr:row>
      <xdr:rowOff>247650</xdr:rowOff>
    </xdr:from>
    <xdr:to>
      <xdr:col>10</xdr:col>
      <xdr:colOff>504824</xdr:colOff>
      <xdr:row>10</xdr:row>
      <xdr:rowOff>190500</xdr:rowOff>
    </xdr:to>
    <xdr:sp macro="" textlink="">
      <xdr:nvSpPr>
        <xdr:cNvPr id="4" name="ZoneTexte 3"/>
        <xdr:cNvSpPr txBox="1"/>
      </xdr:nvSpPr>
      <xdr:spPr>
        <a:xfrm>
          <a:off x="9029698" y="495300"/>
          <a:ext cx="2971801" cy="2124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12" zoomScaleNormal="100" workbookViewId="0">
      <selection activeCell="H1" sqref="H1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4" width="31.140625" customWidth="1"/>
    <col min="5" max="5" width="38.7109375" customWidth="1"/>
    <col min="6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5"/>
      <c r="C1" s="116" t="s">
        <v>44</v>
      </c>
      <c r="D1" s="117"/>
      <c r="E1" s="117"/>
      <c r="F1" s="96">
        <f>date</f>
        <v>42964</v>
      </c>
    </row>
    <row r="2" spans="2:8" ht="25.5" customHeight="1" x14ac:dyDescent="0.35">
      <c r="B2" s="128" t="str">
        <f>"Aéronef concerné: "&amp;type&amp;" / "&amp;immat&amp;""</f>
        <v>Aéronef concerné: PIONEER P200 / F-JUJN</v>
      </c>
      <c r="C2" s="129"/>
      <c r="D2" s="129"/>
      <c r="E2" s="129"/>
      <c r="F2" s="130"/>
      <c r="H2" s="8"/>
    </row>
    <row r="3" spans="2:8" ht="20.25" customHeight="1" thickBot="1" x14ac:dyDescent="0.35">
      <c r="B3" s="131" t="str">
        <f>"Masse maxi "&amp;poidsmax&amp;" kg"</f>
        <v>Masse maxi 472,5 kg</v>
      </c>
      <c r="C3" s="132"/>
      <c r="D3" s="133"/>
      <c r="E3" s="133"/>
      <c r="F3" s="134"/>
      <c r="H3" s="9"/>
    </row>
    <row r="4" spans="2:8" s="6" customFormat="1" ht="18" customHeight="1" x14ac:dyDescent="0.2">
      <c r="B4" s="119"/>
      <c r="C4" s="120"/>
      <c r="D4" s="57"/>
      <c r="E4" s="122"/>
      <c r="F4" s="123"/>
      <c r="G4" s="5"/>
      <c r="H4" s="5"/>
    </row>
    <row r="5" spans="2:8" s="6" customFormat="1" ht="18" customHeight="1" x14ac:dyDescent="0.2">
      <c r="B5" s="121"/>
      <c r="C5" s="120"/>
      <c r="D5" s="58" t="s">
        <v>28</v>
      </c>
      <c r="E5" s="124" t="str">
        <f>ref</f>
        <v>Cloison Pare-feu</v>
      </c>
      <c r="F5" s="125"/>
      <c r="G5" s="5"/>
      <c r="H5" s="5"/>
    </row>
    <row r="6" spans="2:8" s="6" customFormat="1" ht="18" customHeight="1" x14ac:dyDescent="0.2">
      <c r="B6" s="121"/>
      <c r="C6" s="120"/>
      <c r="D6" s="12" t="s">
        <v>59</v>
      </c>
      <c r="E6" s="126">
        <f>D65</f>
        <v>1.35</v>
      </c>
      <c r="F6" s="127"/>
      <c r="G6" s="5"/>
      <c r="H6" s="5"/>
    </row>
    <row r="7" spans="2:8" s="6" customFormat="1" ht="18" customHeight="1" x14ac:dyDescent="0.2">
      <c r="B7" s="121"/>
      <c r="C7" s="120"/>
      <c r="D7" s="18" t="s">
        <v>60</v>
      </c>
      <c r="E7" s="124">
        <f>D66</f>
        <v>1.02</v>
      </c>
      <c r="F7" s="125"/>
      <c r="G7" s="5"/>
      <c r="H7" s="5"/>
    </row>
    <row r="8" spans="2:8" s="6" customFormat="1" ht="18" customHeight="1" thickBot="1" x14ac:dyDescent="0.25">
      <c r="B8" s="121"/>
      <c r="C8" s="120"/>
      <c r="D8" s="101" t="s">
        <v>66</v>
      </c>
      <c r="E8" s="109">
        <v>1.4</v>
      </c>
      <c r="F8" s="110"/>
      <c r="G8" s="98"/>
      <c r="H8" s="98"/>
    </row>
    <row r="9" spans="2:8" s="6" customFormat="1" ht="18" customHeight="1" thickBot="1" x14ac:dyDescent="0.25">
      <c r="B9" s="121"/>
      <c r="C9" s="120"/>
      <c r="D9" s="101" t="s">
        <v>67</v>
      </c>
      <c r="E9" s="111">
        <v>0.47</v>
      </c>
      <c r="F9" s="112"/>
      <c r="G9" s="98"/>
      <c r="H9" s="98"/>
    </row>
    <row r="10" spans="2:8" s="6" customFormat="1" ht="18" customHeight="1" x14ac:dyDescent="0.2">
      <c r="B10" s="121"/>
      <c r="C10" s="120"/>
      <c r="D10" s="60" t="s">
        <v>23</v>
      </c>
      <c r="E10" s="61" t="s">
        <v>25</v>
      </c>
      <c r="F10" s="65" t="s">
        <v>26</v>
      </c>
      <c r="G10" s="5"/>
      <c r="H10" s="5"/>
    </row>
    <row r="11" spans="2:8" s="6" customFormat="1" ht="18" customHeight="1" x14ac:dyDescent="0.2">
      <c r="B11" s="121"/>
      <c r="C11" s="120"/>
      <c r="D11" s="55" t="s">
        <v>27</v>
      </c>
      <c r="E11" s="59" t="s">
        <v>64</v>
      </c>
      <c r="F11" s="75">
        <f>E6*F18/F19</f>
        <v>0.19517529215358931</v>
      </c>
      <c r="G11" s="5"/>
      <c r="H11" s="5"/>
    </row>
    <row r="12" spans="2:8" s="6" customFormat="1" ht="18" customHeight="1" thickBot="1" x14ac:dyDescent="0.25">
      <c r="B12" s="121"/>
      <c r="C12" s="120"/>
      <c r="D12" s="58" t="s">
        <v>24</v>
      </c>
      <c r="E12" s="62" t="s">
        <v>63</v>
      </c>
      <c r="F12" s="100">
        <f>E7-F11</f>
        <v>0.82482470784641071</v>
      </c>
      <c r="G12" s="98"/>
      <c r="H12" s="98"/>
    </row>
    <row r="13" spans="2:8" s="6" customFormat="1" ht="18" customHeight="1" thickBot="1" x14ac:dyDescent="0.25">
      <c r="B13" s="121"/>
      <c r="C13" s="120"/>
      <c r="D13" s="58" t="s">
        <v>65</v>
      </c>
      <c r="E13" s="62" t="s">
        <v>68</v>
      </c>
      <c r="F13" s="76">
        <f>100*(F12-E9)/E8</f>
        <v>25.344621989029338</v>
      </c>
      <c r="G13" s="5"/>
      <c r="H13" s="5"/>
    </row>
    <row r="14" spans="2:8" s="6" customFormat="1" ht="18" customHeight="1" x14ac:dyDescent="0.2">
      <c r="B14" s="56" t="s">
        <v>31</v>
      </c>
      <c r="C14" s="61" t="s">
        <v>30</v>
      </c>
      <c r="D14" s="65" t="s">
        <v>70</v>
      </c>
      <c r="E14" s="135" t="s">
        <v>18</v>
      </c>
      <c r="F14" s="136"/>
      <c r="G14" s="5"/>
      <c r="H14" s="5"/>
    </row>
    <row r="15" spans="2:8" s="6" customFormat="1" ht="18" customHeight="1" x14ac:dyDescent="0.2">
      <c r="B15" s="54" t="s">
        <v>29</v>
      </c>
      <c r="C15" s="59">
        <f>F19</f>
        <v>299.5</v>
      </c>
      <c r="D15" s="67">
        <f>C15*F12</f>
        <v>247.035</v>
      </c>
      <c r="E15" s="63" t="s">
        <v>22</v>
      </c>
      <c r="F15" s="77" t="s">
        <v>21</v>
      </c>
      <c r="G15" s="5"/>
      <c r="H15" s="5"/>
    </row>
    <row r="16" spans="2:8" s="6" customFormat="1" ht="18" customHeight="1" x14ac:dyDescent="0.2">
      <c r="B16" s="54" t="s">
        <v>49</v>
      </c>
      <c r="C16" s="59">
        <v>0</v>
      </c>
      <c r="D16" s="67">
        <v>0</v>
      </c>
      <c r="E16" s="64" t="s">
        <v>19</v>
      </c>
      <c r="F16" s="78">
        <f>roueG</f>
        <v>128.1</v>
      </c>
      <c r="G16" s="5"/>
      <c r="H16" s="5"/>
    </row>
    <row r="17" spans="2:10" s="6" customFormat="1" ht="18" customHeight="1" x14ac:dyDescent="0.2">
      <c r="B17" s="54" t="s">
        <v>50</v>
      </c>
      <c r="C17" s="59">
        <v>0</v>
      </c>
      <c r="D17" s="67">
        <v>0</v>
      </c>
      <c r="E17" s="64" t="s">
        <v>20</v>
      </c>
      <c r="F17" s="78">
        <f>roueD</f>
        <v>128.1</v>
      </c>
      <c r="G17" s="5"/>
      <c r="H17" s="5"/>
    </row>
    <row r="18" spans="2:10" s="6" customFormat="1" ht="18" customHeight="1" x14ac:dyDescent="0.2">
      <c r="B18" s="54" t="s">
        <v>51</v>
      </c>
      <c r="C18" s="79">
        <v>0</v>
      </c>
      <c r="D18" s="67">
        <v>0</v>
      </c>
      <c r="E18" s="64" t="s">
        <v>48</v>
      </c>
      <c r="F18" s="78">
        <f>roueAV</f>
        <v>43.3</v>
      </c>
      <c r="G18" s="5"/>
      <c r="H18" s="5"/>
    </row>
    <row r="19" spans="2:10" s="6" customFormat="1" ht="18" customHeight="1" thickBot="1" x14ac:dyDescent="0.25">
      <c r="B19" s="80" t="s">
        <v>32</v>
      </c>
      <c r="C19" s="62">
        <f>C15-C16-C17-C18</f>
        <v>299.5</v>
      </c>
      <c r="D19" s="81">
        <f>D15-D16-D17-D18</f>
        <v>247.035</v>
      </c>
      <c r="E19" s="66" t="s">
        <v>29</v>
      </c>
      <c r="F19" s="82">
        <f>(F16+F17+F18)</f>
        <v>299.5</v>
      </c>
      <c r="G19" s="5"/>
      <c r="H19" s="5"/>
    </row>
    <row r="20" spans="2:10" ht="18" x14ac:dyDescent="0.25">
      <c r="B20" s="50"/>
      <c r="C20" s="51" t="s">
        <v>0</v>
      </c>
      <c r="D20" s="52" t="s">
        <v>1</v>
      </c>
      <c r="E20" s="52" t="s">
        <v>69</v>
      </c>
      <c r="F20" s="53" t="s">
        <v>56</v>
      </c>
      <c r="G20" s="10"/>
      <c r="H20" s="11"/>
    </row>
    <row r="21" spans="2:10" s="6" customFormat="1" ht="19.5" customHeight="1" x14ac:dyDescent="0.2">
      <c r="B21" s="12" t="s">
        <v>2</v>
      </c>
      <c r="C21" s="107"/>
      <c r="D21" s="108">
        <f>C19</f>
        <v>299.5</v>
      </c>
      <c r="E21" s="3">
        <f>(D19/C19)</f>
        <v>0.82482470784641071</v>
      </c>
      <c r="F21" s="4">
        <f t="shared" ref="F21:F26" si="0">IF(D21&lt;&gt;"",E21*D21,"")</f>
        <v>247.035</v>
      </c>
      <c r="G21" s="5"/>
      <c r="H21" s="5"/>
    </row>
    <row r="22" spans="2:10" s="6" customFormat="1" ht="19.5" customHeight="1" x14ac:dyDescent="0.2">
      <c r="B22" s="12" t="s">
        <v>53</v>
      </c>
      <c r="C22" s="107"/>
      <c r="D22" s="105">
        <v>80</v>
      </c>
      <c r="E22" s="3">
        <f>pilote</f>
        <v>1.1000000000000001</v>
      </c>
      <c r="F22" s="4">
        <f t="shared" si="0"/>
        <v>88</v>
      </c>
      <c r="G22" s="5"/>
      <c r="H22" s="13"/>
    </row>
    <row r="23" spans="2:10" s="6" customFormat="1" ht="19.5" customHeight="1" x14ac:dyDescent="0.2">
      <c r="B23" s="12" t="s">
        <v>55</v>
      </c>
      <c r="C23" s="107"/>
      <c r="D23" s="105">
        <v>0</v>
      </c>
      <c r="E23" s="3">
        <f>copilote</f>
        <v>1.1000000000000001</v>
      </c>
      <c r="F23" s="4">
        <f t="shared" si="0"/>
        <v>0</v>
      </c>
      <c r="G23" s="5"/>
      <c r="H23" s="5"/>
    </row>
    <row r="24" spans="2:10" s="6" customFormat="1" ht="19.5" customHeight="1" x14ac:dyDescent="0.2">
      <c r="B24" s="12" t="str">
        <f>"Bagages"</f>
        <v>Bagages</v>
      </c>
      <c r="C24" s="107"/>
      <c r="D24" s="105">
        <v>10</v>
      </c>
      <c r="E24" s="3">
        <f>bagages</f>
        <v>2</v>
      </c>
      <c r="F24" s="4">
        <f t="shared" si="0"/>
        <v>20</v>
      </c>
      <c r="G24" s="5"/>
      <c r="H24" s="14"/>
    </row>
    <row r="25" spans="2:10" s="6" customFormat="1" ht="19.5" customHeight="1" x14ac:dyDescent="0.2">
      <c r="B25" s="55" t="s">
        <v>46</v>
      </c>
      <c r="C25" s="106">
        <v>55.5</v>
      </c>
      <c r="D25" s="104">
        <f>IF(C25&lt;&gt;"",C25*0.72,"")</f>
        <v>39.96</v>
      </c>
      <c r="E25" s="3">
        <f>essence</f>
        <v>0.25</v>
      </c>
      <c r="F25" s="4">
        <f t="shared" si="0"/>
        <v>9.99</v>
      </c>
      <c r="G25" s="5"/>
      <c r="H25" s="14"/>
    </row>
    <row r="26" spans="2:10" s="6" customFormat="1" ht="19.5" customHeight="1" x14ac:dyDescent="0.2">
      <c r="B26" s="55" t="s">
        <v>72</v>
      </c>
      <c r="C26" s="106">
        <v>0</v>
      </c>
      <c r="D26" s="104">
        <f>IF(C26&lt;&gt;"",C26*0.72,"")</f>
        <v>0</v>
      </c>
      <c r="E26" s="3">
        <f>essenceAux</f>
        <v>1.1000000000000001</v>
      </c>
      <c r="F26" s="4">
        <f t="shared" si="0"/>
        <v>0</v>
      </c>
      <c r="G26" s="98"/>
      <c r="H26" s="14"/>
    </row>
    <row r="27" spans="2:10" s="6" customFormat="1" ht="19.5" customHeight="1" thickBot="1" x14ac:dyDescent="0.25">
      <c r="B27" s="15" t="s">
        <v>3</v>
      </c>
      <c r="C27" s="16"/>
      <c r="D27" s="68">
        <f>SUM(D21:D25)</f>
        <v>429.46</v>
      </c>
      <c r="E27" s="68">
        <f>F27/D27</f>
        <v>0.84996274391095794</v>
      </c>
      <c r="F27" s="69">
        <f>SUM(F21:F26)</f>
        <v>365.02499999999998</v>
      </c>
      <c r="G27" s="5"/>
      <c r="H27" s="14"/>
    </row>
    <row r="28" spans="2:10" s="6" customFormat="1" ht="19.5" customHeight="1" thickBot="1" x14ac:dyDescent="0.3">
      <c r="B28" s="37"/>
      <c r="C28" s="38"/>
      <c r="D28" s="39"/>
      <c r="E28" s="39"/>
      <c r="F28" s="40"/>
      <c r="G28" s="5"/>
      <c r="H28" s="14"/>
    </row>
    <row r="29" spans="2:10" s="17" customFormat="1" ht="19.5" customHeight="1" thickBot="1" x14ac:dyDescent="0.35">
      <c r="B29" s="41"/>
      <c r="C29" s="42"/>
      <c r="D29" s="102" t="s">
        <v>73</v>
      </c>
      <c r="E29" s="103">
        <f>100*(E27-E9)/E8</f>
        <v>27.140195993639857</v>
      </c>
      <c r="F29" s="43"/>
      <c r="G29" s="1"/>
      <c r="H29" s="2" t="str">
        <f>IF(D27&gt;poidsmax,"Trop lourd !",IF(OR(E29&gt;D74,E29&lt;D71),"Hors centrage !",""))</f>
        <v/>
      </c>
      <c r="I29" s="138" t="str">
        <f>IF(H29&lt;&gt;"",D27-poidsmax,"")</f>
        <v/>
      </c>
      <c r="J29" s="138"/>
    </row>
    <row r="30" spans="2:10" ht="17.25" customHeight="1" x14ac:dyDescent="0.3">
      <c r="B30" s="41"/>
      <c r="C30" s="42"/>
      <c r="F30" s="43"/>
    </row>
    <row r="31" spans="2:10" ht="17.25" customHeight="1" x14ac:dyDescent="0.3">
      <c r="B31" s="41"/>
      <c r="C31" s="42"/>
      <c r="F31" s="43"/>
    </row>
    <row r="32" spans="2:10" ht="17.25" customHeight="1" x14ac:dyDescent="0.2">
      <c r="B32" s="44"/>
      <c r="F32" s="43"/>
    </row>
    <row r="33" spans="2:10" ht="17.25" customHeight="1" x14ac:dyDescent="0.2">
      <c r="B33" s="44"/>
      <c r="F33" s="43"/>
    </row>
    <row r="34" spans="2:10" ht="17.25" customHeight="1" x14ac:dyDescent="0.2">
      <c r="B34" s="44"/>
      <c r="F34" s="43"/>
    </row>
    <row r="35" spans="2:10" ht="17.25" customHeight="1" x14ac:dyDescent="0.2">
      <c r="B35" s="44"/>
      <c r="F35" s="43"/>
    </row>
    <row r="36" spans="2:10" ht="17.25" customHeight="1" x14ac:dyDescent="0.2">
      <c r="B36" s="44"/>
      <c r="F36" s="43"/>
    </row>
    <row r="37" spans="2:10" ht="17.25" customHeight="1" x14ac:dyDescent="0.2">
      <c r="B37" s="44"/>
      <c r="F37" s="43"/>
    </row>
    <row r="38" spans="2:10" ht="17.25" customHeight="1" x14ac:dyDescent="0.2">
      <c r="B38" s="44"/>
      <c r="F38" s="43"/>
    </row>
    <row r="39" spans="2:10" ht="17.25" customHeight="1" x14ac:dyDescent="0.2">
      <c r="B39" s="44"/>
      <c r="F39" s="43"/>
    </row>
    <row r="40" spans="2:10" ht="17.25" customHeight="1" x14ac:dyDescent="0.2">
      <c r="B40" s="44"/>
      <c r="F40" s="43"/>
    </row>
    <row r="41" spans="2:10" ht="17.25" customHeight="1" x14ac:dyDescent="0.2">
      <c r="B41" s="44"/>
      <c r="F41" s="43"/>
      <c r="H41" s="19"/>
      <c r="I41" s="20"/>
      <c r="J41" s="20"/>
    </row>
    <row r="42" spans="2:10" ht="17.25" customHeight="1" x14ac:dyDescent="0.2">
      <c r="B42" s="44"/>
      <c r="F42" s="43"/>
      <c r="H42" s="19"/>
      <c r="I42" s="20"/>
      <c r="J42" s="20"/>
    </row>
    <row r="43" spans="2:10" ht="17.25" customHeight="1" x14ac:dyDescent="0.2">
      <c r="B43" s="44"/>
      <c r="F43" s="43"/>
    </row>
    <row r="44" spans="2:10" ht="17.25" customHeight="1" x14ac:dyDescent="0.2">
      <c r="B44" s="44"/>
      <c r="F44" s="43"/>
    </row>
    <row r="45" spans="2:10" ht="17.25" customHeight="1" x14ac:dyDescent="0.2">
      <c r="B45" s="44"/>
      <c r="F45" s="43"/>
      <c r="H45" s="21"/>
      <c r="I45" s="22"/>
      <c r="J45" s="23"/>
    </row>
    <row r="46" spans="2:10" ht="17.25" customHeight="1" thickBot="1" x14ac:dyDescent="0.25">
      <c r="B46" s="44"/>
      <c r="F46" s="43"/>
    </row>
    <row r="47" spans="2:10" ht="17.25" customHeight="1" thickBot="1" x14ac:dyDescent="0.25">
      <c r="B47" s="73"/>
      <c r="C47" s="74"/>
      <c r="D47" s="70"/>
      <c r="E47" s="71"/>
      <c r="F47" s="72"/>
    </row>
    <row r="48" spans="2:10" ht="17.25" customHeight="1" x14ac:dyDescent="0.2">
      <c r="B48" s="45"/>
    </row>
    <row r="49" spans="1:8" ht="28.5" customHeight="1" x14ac:dyDescent="0.2">
      <c r="B49" s="25" t="s">
        <v>12</v>
      </c>
      <c r="C49" s="26"/>
      <c r="D49" s="24"/>
      <c r="E49" s="24"/>
      <c r="F49" s="24"/>
    </row>
    <row r="50" spans="1:8" x14ac:dyDescent="0.2">
      <c r="B50" s="25" t="s">
        <v>13</v>
      </c>
      <c r="C50" s="26"/>
      <c r="D50" s="24"/>
      <c r="E50" s="24"/>
      <c r="F50" s="24"/>
    </row>
    <row r="51" spans="1:8" s="24" customFormat="1" ht="17.25" customHeight="1" x14ac:dyDescent="0.2">
      <c r="B51"/>
      <c r="C51" s="7"/>
      <c r="D51"/>
      <c r="E51"/>
      <c r="F51"/>
      <c r="G51" s="26"/>
      <c r="H51" s="26"/>
    </row>
    <row r="52" spans="1:8" s="24" customFormat="1" ht="17.25" customHeight="1" x14ac:dyDescent="0.2">
      <c r="B52" s="46" t="s">
        <v>14</v>
      </c>
      <c r="C52" s="47"/>
      <c r="D52" s="46"/>
      <c r="E52" s="46"/>
      <c r="F52" s="48"/>
      <c r="G52" s="26"/>
      <c r="H52" s="26"/>
    </row>
    <row r="53" spans="1:8" ht="17.25" customHeight="1" x14ac:dyDescent="0.2">
      <c r="B53" s="46" t="s">
        <v>15</v>
      </c>
      <c r="C53" s="47"/>
      <c r="D53" s="46"/>
      <c r="E53" s="46"/>
      <c r="F53" s="49"/>
    </row>
    <row r="54" spans="1:8" s="46" customFormat="1" ht="17.25" customHeight="1" x14ac:dyDescent="0.2">
      <c r="B54" s="27"/>
      <c r="C54" s="7"/>
      <c r="D54"/>
      <c r="E54"/>
      <c r="F54" s="28"/>
      <c r="G54" s="47"/>
      <c r="H54" s="47"/>
    </row>
    <row r="55" spans="1:8" s="46" customFormat="1" ht="17.25" customHeight="1" x14ac:dyDescent="0.2">
      <c r="B55" s="27"/>
      <c r="C55" s="7"/>
      <c r="D55"/>
      <c r="E55"/>
      <c r="F55" s="27"/>
      <c r="G55" s="47"/>
      <c r="H55" s="47"/>
    </row>
    <row r="56" spans="1:8" ht="17.25" customHeight="1" x14ac:dyDescent="0.3">
      <c r="A56" s="27"/>
      <c r="B56" s="27"/>
      <c r="C56" s="139" t="s">
        <v>9</v>
      </c>
      <c r="D56" s="140"/>
      <c r="E56" s="141"/>
      <c r="F56" s="27"/>
    </row>
    <row r="57" spans="1:8" ht="17.25" customHeight="1" x14ac:dyDescent="0.2">
      <c r="A57" s="27"/>
      <c r="B57" s="27"/>
      <c r="C57" s="142" t="s">
        <v>8</v>
      </c>
      <c r="D57" s="143"/>
      <c r="E57" s="144"/>
      <c r="F57" s="27"/>
    </row>
    <row r="58" spans="1:8" ht="17.25" customHeight="1" x14ac:dyDescent="0.2">
      <c r="A58" s="27"/>
      <c r="B58" s="27"/>
      <c r="C58" s="29"/>
      <c r="D58" s="30" t="s">
        <v>4</v>
      </c>
      <c r="E58" s="31" t="s">
        <v>5</v>
      </c>
      <c r="F58" s="27"/>
    </row>
    <row r="59" spans="1:8" ht="17.25" customHeight="1" x14ac:dyDescent="0.2">
      <c r="A59" s="27"/>
      <c r="B59" s="32"/>
      <c r="C59" s="33" t="s">
        <v>10</v>
      </c>
      <c r="D59" s="114" t="s">
        <v>57</v>
      </c>
      <c r="E59" s="118"/>
      <c r="F59" s="32"/>
    </row>
    <row r="60" spans="1:8" ht="17.25" customHeight="1" x14ac:dyDescent="0.2">
      <c r="A60" s="27"/>
      <c r="B60" s="32"/>
      <c r="C60" s="33" t="s">
        <v>11</v>
      </c>
      <c r="D60" s="114" t="s">
        <v>58</v>
      </c>
      <c r="E60" s="145"/>
      <c r="F60" s="32"/>
    </row>
    <row r="61" spans="1:8" s="17" customFormat="1" ht="17.25" customHeight="1" x14ac:dyDescent="0.2">
      <c r="A61" s="32"/>
      <c r="B61" s="32"/>
      <c r="C61" s="33" t="s">
        <v>17</v>
      </c>
      <c r="D61" s="137">
        <v>42964</v>
      </c>
      <c r="E61" s="118"/>
      <c r="F61" s="32"/>
      <c r="G61" s="1"/>
      <c r="H61" s="1"/>
    </row>
    <row r="62" spans="1:8" s="17" customFormat="1" ht="17.25" customHeight="1" x14ac:dyDescent="0.2">
      <c r="A62" s="32"/>
      <c r="B62" s="32"/>
      <c r="C62" s="33" t="s">
        <v>16</v>
      </c>
      <c r="D62" s="114">
        <v>258</v>
      </c>
      <c r="E62" s="118"/>
      <c r="F62" s="32"/>
      <c r="G62" s="1"/>
      <c r="H62" s="1"/>
    </row>
    <row r="63" spans="1:8" s="17" customFormat="1" ht="17.25" customHeight="1" x14ac:dyDescent="0.2">
      <c r="A63" s="32"/>
      <c r="B63" s="32"/>
      <c r="C63" s="33" t="s">
        <v>33</v>
      </c>
      <c r="D63" s="114"/>
      <c r="E63" s="115"/>
      <c r="F63" s="32"/>
      <c r="G63" s="1"/>
      <c r="H63" s="1"/>
    </row>
    <row r="64" spans="1:8" s="17" customFormat="1" ht="17.25" customHeight="1" x14ac:dyDescent="0.2">
      <c r="A64" s="32"/>
      <c r="B64" s="32"/>
      <c r="C64" s="97" t="s">
        <v>34</v>
      </c>
      <c r="D64" s="114" t="s">
        <v>52</v>
      </c>
      <c r="E64" s="115"/>
      <c r="F64" s="32"/>
      <c r="G64" s="1"/>
      <c r="H64" s="1"/>
    </row>
    <row r="65" spans="1:8" s="17" customFormat="1" ht="17.25" customHeight="1" x14ac:dyDescent="0.2">
      <c r="A65" s="32"/>
      <c r="B65" s="32"/>
      <c r="C65" s="97" t="s">
        <v>61</v>
      </c>
      <c r="D65" s="114">
        <v>1.35</v>
      </c>
      <c r="E65" s="115"/>
      <c r="F65" s="32"/>
      <c r="G65" s="1"/>
      <c r="H65" s="1"/>
    </row>
    <row r="66" spans="1:8" s="17" customFormat="1" ht="17.25" customHeight="1" x14ac:dyDescent="0.2">
      <c r="A66" s="32"/>
      <c r="B66" s="32"/>
      <c r="C66" s="97" t="s">
        <v>62</v>
      </c>
      <c r="D66" s="114">
        <v>1.02</v>
      </c>
      <c r="E66" s="115"/>
      <c r="F66" s="32"/>
      <c r="G66" s="1"/>
      <c r="H66" s="1"/>
    </row>
    <row r="67" spans="1:8" s="17" customFormat="1" ht="17.25" customHeight="1" x14ac:dyDescent="0.2">
      <c r="A67" s="32"/>
      <c r="B67" s="32"/>
      <c r="C67" s="33" t="s">
        <v>36</v>
      </c>
      <c r="D67" s="114">
        <v>128.1</v>
      </c>
      <c r="E67" s="115"/>
      <c r="F67" s="32"/>
      <c r="G67" s="1"/>
      <c r="H67" s="1"/>
    </row>
    <row r="68" spans="1:8" s="17" customFormat="1" ht="17.25" customHeight="1" x14ac:dyDescent="0.2">
      <c r="A68" s="32"/>
      <c r="B68" s="32"/>
      <c r="C68" s="33" t="s">
        <v>37</v>
      </c>
      <c r="D68" s="114">
        <v>128.1</v>
      </c>
      <c r="E68" s="115"/>
      <c r="F68" s="32"/>
      <c r="G68" s="1"/>
      <c r="H68" s="1"/>
    </row>
    <row r="69" spans="1:8" s="17" customFormat="1" ht="17.25" customHeight="1" x14ac:dyDescent="0.2">
      <c r="A69" s="32"/>
      <c r="B69" s="32"/>
      <c r="C69" s="97" t="s">
        <v>48</v>
      </c>
      <c r="D69" s="114">
        <v>43.3</v>
      </c>
      <c r="E69" s="115"/>
      <c r="F69" s="32"/>
      <c r="G69" s="1"/>
      <c r="H69" s="1"/>
    </row>
    <row r="70" spans="1:8" s="17" customFormat="1" ht="17.25" customHeight="1" x14ac:dyDescent="0.2">
      <c r="A70" s="32"/>
      <c r="B70" s="113" t="s">
        <v>45</v>
      </c>
      <c r="C70" s="34" t="s">
        <v>43</v>
      </c>
      <c r="D70" s="83"/>
      <c r="E70" s="84"/>
      <c r="F70" s="27"/>
      <c r="G70" s="1"/>
      <c r="H70" s="1"/>
    </row>
    <row r="71" spans="1:8" s="17" customFormat="1" ht="17.25" customHeight="1" x14ac:dyDescent="0.2">
      <c r="A71" s="32"/>
      <c r="B71" s="113"/>
      <c r="C71" s="34" t="s">
        <v>38</v>
      </c>
      <c r="D71" s="85">
        <v>18</v>
      </c>
      <c r="E71" s="84">
        <v>300</v>
      </c>
      <c r="F71" s="27"/>
      <c r="G71" s="1"/>
      <c r="H71" s="1"/>
    </row>
    <row r="72" spans="1:8" ht="17.25" customHeight="1" x14ac:dyDescent="0.2">
      <c r="A72" s="27"/>
      <c r="B72" s="113"/>
      <c r="C72" s="34" t="s">
        <v>39</v>
      </c>
      <c r="D72" s="85">
        <v>18</v>
      </c>
      <c r="E72" s="84">
        <v>472.5</v>
      </c>
      <c r="F72" s="27"/>
    </row>
    <row r="73" spans="1:8" ht="17.25" customHeight="1" x14ac:dyDescent="0.2">
      <c r="A73" s="27"/>
      <c r="B73" s="113"/>
      <c r="C73" s="34" t="s">
        <v>40</v>
      </c>
      <c r="D73" s="85">
        <v>20</v>
      </c>
      <c r="E73" s="86">
        <v>472.5</v>
      </c>
      <c r="F73" s="27"/>
    </row>
    <row r="74" spans="1:8" ht="17.25" customHeight="1" x14ac:dyDescent="0.2">
      <c r="A74" s="27"/>
      <c r="B74" s="113"/>
      <c r="C74" s="34" t="s">
        <v>41</v>
      </c>
      <c r="D74" s="85">
        <v>32</v>
      </c>
      <c r="E74" s="86">
        <v>472.5</v>
      </c>
      <c r="F74" s="27"/>
    </row>
    <row r="75" spans="1:8" ht="17.25" customHeight="1" x14ac:dyDescent="0.2">
      <c r="A75" s="27"/>
      <c r="B75" s="113"/>
      <c r="C75" s="34" t="s">
        <v>42</v>
      </c>
      <c r="D75" s="85">
        <v>32</v>
      </c>
      <c r="E75" s="86">
        <v>300</v>
      </c>
      <c r="F75" s="27"/>
    </row>
    <row r="76" spans="1:8" ht="17.25" customHeight="1" x14ac:dyDescent="0.2">
      <c r="A76" s="27"/>
      <c r="B76" s="113"/>
      <c r="C76" s="35" t="s">
        <v>6</v>
      </c>
      <c r="D76" s="93">
        <f>E29</f>
        <v>27.140195993639857</v>
      </c>
      <c r="E76" s="94">
        <f>D27</f>
        <v>429.46</v>
      </c>
      <c r="F76" s="27"/>
    </row>
    <row r="77" spans="1:8" ht="17.25" customHeight="1" x14ac:dyDescent="0.2">
      <c r="A77" s="27"/>
      <c r="B77" s="113"/>
      <c r="C77" s="35" t="s">
        <v>7</v>
      </c>
      <c r="D77" s="90"/>
      <c r="E77" s="88">
        <v>472.5</v>
      </c>
      <c r="F77" s="27"/>
    </row>
    <row r="78" spans="1:8" ht="17.25" customHeight="1" x14ac:dyDescent="0.2">
      <c r="A78" s="27"/>
      <c r="B78" s="99"/>
      <c r="C78" s="35" t="s">
        <v>54</v>
      </c>
      <c r="D78" s="90">
        <v>1.1000000000000001</v>
      </c>
      <c r="E78" s="88"/>
      <c r="F78" s="27"/>
    </row>
    <row r="79" spans="1:8" ht="17.25" customHeight="1" x14ac:dyDescent="0.2">
      <c r="A79" s="27"/>
      <c r="B79" s="27"/>
      <c r="C79" s="34" t="s">
        <v>55</v>
      </c>
      <c r="D79" s="87">
        <v>1.1000000000000001</v>
      </c>
      <c r="E79" s="91"/>
      <c r="F79" s="27"/>
    </row>
    <row r="80" spans="1:8" ht="17.25" customHeight="1" x14ac:dyDescent="0.2">
      <c r="A80" s="27"/>
      <c r="B80" s="27"/>
      <c r="C80" s="35" t="s">
        <v>35</v>
      </c>
      <c r="D80" s="87">
        <v>2</v>
      </c>
      <c r="E80" s="92"/>
      <c r="F80" s="27"/>
    </row>
    <row r="81" spans="1:8" ht="17.25" customHeight="1" x14ac:dyDescent="0.2">
      <c r="A81" s="27"/>
      <c r="B81" s="27"/>
      <c r="C81" s="35" t="s">
        <v>71</v>
      </c>
      <c r="D81" s="87">
        <v>1.1000000000000001</v>
      </c>
      <c r="E81" s="92"/>
      <c r="F81" s="27"/>
    </row>
    <row r="82" spans="1:8" ht="17.25" customHeight="1" x14ac:dyDescent="0.2">
      <c r="A82" s="27"/>
      <c r="B82" s="27"/>
      <c r="C82" s="35" t="s">
        <v>47</v>
      </c>
      <c r="D82" s="87">
        <v>0.25</v>
      </c>
      <c r="E82" s="89"/>
      <c r="F82" s="27"/>
    </row>
    <row r="83" spans="1:8" ht="17.25" customHeight="1" x14ac:dyDescent="0.2">
      <c r="A83" s="27"/>
      <c r="B83" s="27"/>
      <c r="C83" s="27"/>
      <c r="D83" s="7"/>
      <c r="E83" s="7"/>
      <c r="G83"/>
      <c r="H83"/>
    </row>
    <row r="84" spans="1:8" ht="17.25" customHeight="1" x14ac:dyDescent="0.2">
      <c r="A84" s="27"/>
      <c r="B84" s="27"/>
      <c r="C84" s="27"/>
      <c r="D84" s="7"/>
      <c r="E84" s="7"/>
      <c r="G84"/>
      <c r="H84"/>
    </row>
    <row r="85" spans="1:8" ht="17.25" customHeight="1" x14ac:dyDescent="0.2">
      <c r="A85" s="27"/>
      <c r="B85" s="27"/>
      <c r="C85" s="36"/>
      <c r="D85" s="27"/>
      <c r="E85" s="27"/>
      <c r="F85" s="27"/>
    </row>
    <row r="86" spans="1:8" ht="17.25" customHeight="1" x14ac:dyDescent="0.2">
      <c r="A86" s="27"/>
      <c r="B86" s="27"/>
      <c r="C86" s="36"/>
      <c r="D86" s="27"/>
      <c r="E86" s="27"/>
      <c r="F86" s="27"/>
    </row>
    <row r="87" spans="1:8" ht="17.25" customHeight="1" x14ac:dyDescent="0.2">
      <c r="A87" s="27"/>
      <c r="B87" s="27"/>
      <c r="F87" s="27"/>
    </row>
    <row r="88" spans="1:8" x14ac:dyDescent="0.2">
      <c r="A88" s="27"/>
    </row>
    <row r="89" spans="1:8" x14ac:dyDescent="0.2">
      <c r="A89" s="27"/>
    </row>
  </sheetData>
  <sheetProtection selectLockedCells="1"/>
  <mergeCells count="26">
    <mergeCell ref="I29:J29"/>
    <mergeCell ref="C56:E56"/>
    <mergeCell ref="C57:E57"/>
    <mergeCell ref="D59:E59"/>
    <mergeCell ref="D60:E60"/>
    <mergeCell ref="D61:E61"/>
    <mergeCell ref="D64:E64"/>
    <mergeCell ref="D66:E66"/>
    <mergeCell ref="D65:E65"/>
    <mergeCell ref="D63:E63"/>
    <mergeCell ref="E8:F8"/>
    <mergeCell ref="E9:F9"/>
    <mergeCell ref="B70:B77"/>
    <mergeCell ref="D69:E69"/>
    <mergeCell ref="C1:E1"/>
    <mergeCell ref="D62:E62"/>
    <mergeCell ref="B4:C13"/>
    <mergeCell ref="E4:F4"/>
    <mergeCell ref="E5:F5"/>
    <mergeCell ref="E6:F6"/>
    <mergeCell ref="E7:F7"/>
    <mergeCell ref="B2:F2"/>
    <mergeCell ref="D67:E67"/>
    <mergeCell ref="D68:E68"/>
    <mergeCell ref="B3:F3"/>
    <mergeCell ref="E14:F14"/>
  </mergeCells>
  <phoneticPr fontId="2" type="noConversion"/>
  <conditionalFormatting sqref="D27">
    <cfRule type="cellIs" dxfId="3" priority="4" stopIfTrue="1" operator="greaterThan">
      <formula>poidsmax</formula>
    </cfRule>
  </conditionalFormatting>
  <conditionalFormatting sqref="E27">
    <cfRule type="cellIs" dxfId="2" priority="2" stopIfTrue="1" operator="greaterThan">
      <formula>$D$74</formula>
    </cfRule>
    <cfRule type="cellIs" dxfId="1" priority="3" stopIfTrue="1" operator="lessThan">
      <formula>$D$71</formula>
    </cfRule>
  </conditionalFormatting>
  <conditionalFormatting sqref="F27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17</vt:i4>
      </vt:variant>
    </vt:vector>
  </HeadingPairs>
  <TitlesOfParts>
    <vt:vector size="18" baseType="lpstr">
      <vt:lpstr>PIONEER 200 JUJN</vt:lpstr>
      <vt:lpstr>bagages</vt:lpstr>
      <vt:lpstr>brasCG</vt:lpstr>
      <vt:lpstr>central</vt:lpstr>
      <vt:lpstr>copilote</vt:lpstr>
      <vt:lpstr>date</vt:lpstr>
      <vt:lpstr>essence</vt:lpstr>
      <vt:lpstr>essenceAux</vt:lpstr>
      <vt:lpstr>immat</vt:lpstr>
      <vt:lpstr>pilote</vt:lpstr>
      <vt:lpstr>poidsmax</vt:lpstr>
      <vt:lpstr>ref</vt:lpstr>
      <vt:lpstr>roueAV</vt:lpstr>
      <vt:lpstr>roueD</vt:lpstr>
      <vt:lpstr>roueG</vt:lpstr>
      <vt:lpstr>type</vt:lpstr>
      <vt:lpstr>vide</vt:lpstr>
      <vt:lpstr>'PIONEER 200 JUJN'!Zone_d_impression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2025-03-16T13:34:47Z</dcterms:modified>
</cp:coreProperties>
</file>