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oc\Downloads\"/>
    </mc:Choice>
  </mc:AlternateContent>
  <xr:revisionPtr revIDLastSave="0" documentId="13_ncr:1_{FAF5B388-8C76-4F74-8E91-1365B633B9FF}" xr6:coauthVersionLast="47" xr6:coauthVersionMax="47" xr10:uidLastSave="{00000000-0000-0000-0000-000000000000}"/>
  <bookViews>
    <workbookView xWindow="28680" yWindow="-990" windowWidth="29040" windowHeight="15840" xr2:uid="{4330FE38-5938-4B46-9C09-15987231FD42}"/>
  </bookViews>
  <sheets>
    <sheet name="F-HOOD et F-HERD" sheetId="65" r:id="rId1"/>
    <sheet name="F-HEBJ " sheetId="47" r:id="rId2"/>
    <sheet name="F-GAJB" sheetId="57" r:id="rId3"/>
    <sheet name="F-GCUA" sheetId="48" r:id="rId4"/>
    <sheet name="F-GBUR" sheetId="61" r:id="rId5"/>
    <sheet name="F-GCAT" sheetId="49" r:id="rId6"/>
    <sheet name="F-GNNM" sheetId="54" r:id="rId7"/>
    <sheet name="F-GFPJ" sheetId="53" r:id="rId8"/>
    <sheet name="F-BOOR" sheetId="60" r:id="rId9"/>
    <sheet name="F-JUJN" sheetId="64" r:id="rId10"/>
  </sheets>
  <definedNames>
    <definedName name="_xlnm.Print_Area" localSheetId="2">'F-GAJB'!$A$1:$M$32</definedName>
    <definedName name="_xlnm.Print_Area" localSheetId="5">'F-GCAT'!$A$1:$N$32</definedName>
    <definedName name="_xlnm.Print_Area" localSheetId="3">'F-GCUA'!$A$1:$N$32</definedName>
    <definedName name="_xlnm.Print_Area" localSheetId="7">'F-GFPJ'!$A$1:$N$32</definedName>
    <definedName name="_xlnm.Print_Area" localSheetId="6">'F-GNNM'!$A$1:$N$32</definedName>
    <definedName name="_xlnm.Print_Area" localSheetId="1">'F-HEBJ '!$A$1:$O$32</definedName>
  </definedNames>
  <calcPr calcId="181029"/>
</workbook>
</file>

<file path=xl/calcChain.xml><?xml version="1.0" encoding="utf-8"?>
<calcChain xmlns="http://schemas.openxmlformats.org/spreadsheetml/2006/main">
  <c r="D26" i="65" l="1"/>
  <c r="D27" i="65" s="1"/>
  <c r="F25" i="65"/>
  <c r="F24" i="65"/>
  <c r="S23" i="65"/>
  <c r="F23" i="65"/>
  <c r="F26" i="65" s="1"/>
  <c r="F22" i="65"/>
  <c r="U21" i="65"/>
  <c r="T21" i="65"/>
  <c r="F21" i="65"/>
  <c r="T14" i="65"/>
  <c r="S17" i="65" s="1"/>
  <c r="D7" i="65"/>
  <c r="U22" i="65" s="1"/>
  <c r="AA6" i="65"/>
  <c r="Y6" i="65"/>
  <c r="U6" i="65"/>
  <c r="T6" i="65"/>
  <c r="S6" i="65"/>
  <c r="AA5" i="65"/>
  <c r="Z5" i="65"/>
  <c r="Y5" i="65"/>
  <c r="Z14" i="65" s="1"/>
  <c r="Y17" i="65" s="1"/>
  <c r="U5" i="65"/>
  <c r="T5" i="65"/>
  <c r="S5" i="65"/>
  <c r="G5" i="65"/>
  <c r="G7" i="65" s="1"/>
  <c r="AA4" i="65"/>
  <c r="Z4" i="65"/>
  <c r="Y4" i="65"/>
  <c r="U4" i="65"/>
  <c r="T4" i="65"/>
  <c r="S4" i="65"/>
  <c r="AB11" i="65" l="1"/>
  <c r="T11" i="65"/>
  <c r="V10" i="65"/>
  <c r="Z9" i="65"/>
  <c r="V11" i="65"/>
  <c r="AB9" i="65"/>
  <c r="AA9" i="65"/>
  <c r="AA11" i="65"/>
  <c r="S11" i="65"/>
  <c r="U10" i="65"/>
  <c r="Y9" i="65"/>
  <c r="Y14" i="65" s="1"/>
  <c r="Z10" i="65"/>
  <c r="T9" i="65"/>
  <c r="Z11" i="65"/>
  <c r="AB10" i="65"/>
  <c r="T10" i="65"/>
  <c r="V9" i="65"/>
  <c r="Y10" i="65"/>
  <c r="S9" i="65"/>
  <c r="S14" i="65" s="1"/>
  <c r="S16" i="65" s="1"/>
  <c r="Y11" i="65"/>
  <c r="AA10" i="65"/>
  <c r="S10" i="65"/>
  <c r="U9" i="65"/>
  <c r="U11" i="65"/>
  <c r="S15" i="65"/>
  <c r="F27" i="65"/>
  <c r="E30" i="65" s="1"/>
  <c r="E29" i="65"/>
  <c r="T26" i="65"/>
  <c r="Z6" i="65"/>
  <c r="Y16" i="65"/>
  <c r="T23" i="65"/>
  <c r="S22" i="65"/>
  <c r="U23" i="65"/>
  <c r="T22" i="65"/>
  <c r="S21" i="65"/>
  <c r="S26" i="65" s="1"/>
  <c r="S28" i="65" s="1"/>
  <c r="U28" i="65" s="1"/>
  <c r="V28" i="65" s="1"/>
  <c r="V16" i="65" l="1"/>
  <c r="U16" i="65"/>
  <c r="V18" i="65" s="1"/>
  <c r="V30" i="65"/>
  <c r="G14" i="65"/>
  <c r="E14" i="65"/>
  <c r="AB16" i="65"/>
  <c r="AA16" i="65"/>
  <c r="AB18" i="65"/>
  <c r="E12" i="65" l="1"/>
  <c r="V19" i="65"/>
  <c r="G12" i="65"/>
  <c r="G13" i="65"/>
  <c r="E13" i="65"/>
  <c r="I14" i="64" l="1"/>
  <c r="I12" i="64"/>
  <c r="M12" i="64"/>
  <c r="C24" i="64"/>
  <c r="D15" i="64"/>
  <c r="M14" i="64"/>
  <c r="C14" i="64"/>
  <c r="I16" i="64"/>
  <c r="M16" i="64"/>
  <c r="C16" i="64"/>
  <c r="B17" i="64"/>
  <c r="I10" i="64"/>
  <c r="M8" i="64"/>
  <c r="M6" i="64"/>
  <c r="M4" i="64"/>
  <c r="M10" i="64"/>
  <c r="C18" i="53"/>
  <c r="C20" i="53"/>
  <c r="P98" i="61"/>
  <c r="R98" i="61"/>
  <c r="U98" i="61"/>
  <c r="X96" i="61"/>
  <c r="K7" i="61"/>
  <c r="H13" i="61"/>
  <c r="P97" i="61"/>
  <c r="P96" i="61"/>
  <c r="R96" i="61"/>
  <c r="U96" i="61"/>
  <c r="S64" i="61"/>
  <c r="P64" i="61"/>
  <c r="W58" i="61"/>
  <c r="S15" i="61"/>
  <c r="P15" i="61"/>
  <c r="D15" i="61"/>
  <c r="C14" i="61"/>
  <c r="C18" i="61"/>
  <c r="C20" i="61"/>
  <c r="I12" i="61"/>
  <c r="X11" i="61"/>
  <c r="S11" i="61"/>
  <c r="I10" i="61"/>
  <c r="AA9" i="61"/>
  <c r="X9" i="61"/>
  <c r="Q9" i="61"/>
  <c r="K9" i="61"/>
  <c r="T32" i="61"/>
  <c r="I9" i="61"/>
  <c r="AT6" i="61"/>
  <c r="AV6" i="61"/>
  <c r="AT5" i="61"/>
  <c r="AT4" i="61"/>
  <c r="AV4" i="61"/>
  <c r="AV2" i="61"/>
  <c r="P98" i="60"/>
  <c r="R98" i="60"/>
  <c r="U98" i="60"/>
  <c r="P97" i="60"/>
  <c r="P96" i="60"/>
  <c r="R96" i="60"/>
  <c r="U96" i="60"/>
  <c r="X96" i="60"/>
  <c r="P35" i="60"/>
  <c r="R35" i="60"/>
  <c r="U35" i="60"/>
  <c r="X35" i="60"/>
  <c r="P34" i="60"/>
  <c r="AM33" i="60"/>
  <c r="P33" i="60"/>
  <c r="R33" i="60"/>
  <c r="U33" i="60"/>
  <c r="AM20" i="60"/>
  <c r="AM17" i="60"/>
  <c r="C16" i="60"/>
  <c r="AM14" i="60"/>
  <c r="C14" i="60"/>
  <c r="C18" i="60"/>
  <c r="C20" i="60"/>
  <c r="AS12" i="60"/>
  <c r="AU12" i="60"/>
  <c r="AU10" i="60"/>
  <c r="AS10" i="60"/>
  <c r="Q10" i="60"/>
  <c r="I10" i="60"/>
  <c r="K9" i="60"/>
  <c r="I9" i="60"/>
  <c r="AS8" i="60"/>
  <c r="AU8" i="60"/>
  <c r="AS6" i="60"/>
  <c r="AU6" i="60"/>
  <c r="AS12" i="53"/>
  <c r="AU12" i="53"/>
  <c r="AS10" i="53"/>
  <c r="AU10" i="53"/>
  <c r="AS8" i="53"/>
  <c r="AU8" i="53"/>
  <c r="K9" i="53"/>
  <c r="AM17" i="53"/>
  <c r="AM32" i="53"/>
  <c r="W29" i="57"/>
  <c r="Y29" i="57"/>
  <c r="AA29" i="57"/>
  <c r="Y35" i="57"/>
  <c r="K6" i="57"/>
  <c r="W31" i="57"/>
  <c r="Y31" i="57"/>
  <c r="AA31" i="57"/>
  <c r="K9" i="57"/>
  <c r="C18" i="57"/>
  <c r="P119" i="57"/>
  <c r="W118" i="57"/>
  <c r="P134" i="57"/>
  <c r="Z24" i="57"/>
  <c r="P47" i="57"/>
  <c r="S51" i="57"/>
  <c r="P13" i="57"/>
  <c r="S17" i="57"/>
  <c r="T15" i="57"/>
  <c r="P149" i="57"/>
  <c r="T148" i="57"/>
  <c r="W148" i="57"/>
  <c r="Q148" i="57"/>
  <c r="Y112" i="57"/>
  <c r="V112" i="57"/>
  <c r="S112" i="57"/>
  <c r="P112" i="57"/>
  <c r="P81" i="57"/>
  <c r="S102" i="57"/>
  <c r="P142" i="57"/>
  <c r="V142" i="57"/>
  <c r="Y145" i="57"/>
  <c r="V145" i="57"/>
  <c r="S145" i="57"/>
  <c r="P145" i="57"/>
  <c r="Y144" i="57"/>
  <c r="V144" i="57"/>
  <c r="S144" i="57"/>
  <c r="P144" i="57"/>
  <c r="Y143" i="57"/>
  <c r="V143" i="57"/>
  <c r="S143" i="57"/>
  <c r="P143" i="57"/>
  <c r="Y142" i="57"/>
  <c r="S142" i="57"/>
  <c r="Y141" i="57"/>
  <c r="V141" i="57"/>
  <c r="S141" i="57"/>
  <c r="P141" i="57"/>
  <c r="P127" i="57"/>
  <c r="V127" i="57"/>
  <c r="Y130" i="57"/>
  <c r="V130" i="57"/>
  <c r="S130" i="57"/>
  <c r="P130" i="57"/>
  <c r="Y129" i="57"/>
  <c r="V129" i="57"/>
  <c r="S129" i="57"/>
  <c r="P129" i="57"/>
  <c r="Y128" i="57"/>
  <c r="V128" i="57"/>
  <c r="S128" i="57"/>
  <c r="P128" i="57"/>
  <c r="Y127" i="57"/>
  <c r="S127" i="57"/>
  <c r="Y126" i="57"/>
  <c r="V126" i="57"/>
  <c r="S126" i="57"/>
  <c r="P126" i="57"/>
  <c r="Y115" i="57"/>
  <c r="V115" i="57"/>
  <c r="S115" i="57"/>
  <c r="P115" i="57"/>
  <c r="Y114" i="57"/>
  <c r="V114" i="57"/>
  <c r="S114" i="57"/>
  <c r="P114" i="57"/>
  <c r="Y113" i="57"/>
  <c r="V113" i="57"/>
  <c r="S113" i="57"/>
  <c r="P113" i="57"/>
  <c r="Y111" i="57"/>
  <c r="V111" i="57"/>
  <c r="S111" i="57"/>
  <c r="P111" i="57"/>
  <c r="W30" i="57"/>
  <c r="S85" i="57"/>
  <c r="T83" i="57"/>
  <c r="S91" i="57"/>
  <c r="S101" i="57"/>
  <c r="S103" i="57"/>
  <c r="T101" i="57"/>
  <c r="S95" i="57"/>
  <c r="S96" i="57"/>
  <c r="S90" i="57"/>
  <c r="S100" i="57"/>
  <c r="S88" i="57"/>
  <c r="S83" i="57"/>
  <c r="S84" i="57"/>
  <c r="S67" i="57"/>
  <c r="S61" i="57"/>
  <c r="S63" i="57"/>
  <c r="S56" i="57"/>
  <c r="S49" i="57"/>
  <c r="S60" i="57"/>
  <c r="S33" i="57"/>
  <c r="S34" i="57"/>
  <c r="S35" i="57"/>
  <c r="T33" i="57"/>
  <c r="S32" i="57"/>
  <c r="S27" i="57"/>
  <c r="S28" i="57"/>
  <c r="S29" i="57"/>
  <c r="S26" i="57"/>
  <c r="S21" i="57"/>
  <c r="S22" i="57"/>
  <c r="S20" i="57"/>
  <c r="S15" i="57"/>
  <c r="S16" i="57"/>
  <c r="S14" i="57"/>
  <c r="S48" i="57"/>
  <c r="S82" i="57"/>
  <c r="Y45" i="57"/>
  <c r="V45" i="57"/>
  <c r="S45" i="57"/>
  <c r="P45" i="57"/>
  <c r="Y44" i="57"/>
  <c r="V44" i="57"/>
  <c r="S44" i="57"/>
  <c r="P44" i="57"/>
  <c r="Y43" i="57"/>
  <c r="V43" i="57"/>
  <c r="S43" i="57"/>
  <c r="P43" i="57"/>
  <c r="Y42" i="57"/>
  <c r="V42" i="57"/>
  <c r="S42" i="57"/>
  <c r="P42" i="57"/>
  <c r="Y41" i="57"/>
  <c r="V41" i="57"/>
  <c r="S41" i="57"/>
  <c r="P41" i="57"/>
  <c r="T27" i="57"/>
  <c r="Y79" i="57"/>
  <c r="V79" i="57"/>
  <c r="S79" i="57"/>
  <c r="P79" i="57"/>
  <c r="Y78" i="57"/>
  <c r="V78" i="57"/>
  <c r="S78" i="57"/>
  <c r="P78" i="57"/>
  <c r="Y77" i="57"/>
  <c r="V77" i="57"/>
  <c r="S77" i="57"/>
  <c r="P77" i="57"/>
  <c r="Y76" i="57"/>
  <c r="V76" i="57"/>
  <c r="S76" i="57"/>
  <c r="P76" i="57"/>
  <c r="Y75" i="57"/>
  <c r="V75" i="57"/>
  <c r="S75" i="57"/>
  <c r="P75" i="57"/>
  <c r="AY2" i="57"/>
  <c r="BA2" i="57"/>
  <c r="AY6" i="57"/>
  <c r="BA6" i="57"/>
  <c r="P7" i="57"/>
  <c r="S7" i="57"/>
  <c r="V7" i="57"/>
  <c r="Y7" i="57"/>
  <c r="AG7" i="57"/>
  <c r="AK7" i="57"/>
  <c r="AO7" i="57"/>
  <c r="AS7" i="57"/>
  <c r="P8" i="57"/>
  <c r="S8" i="57"/>
  <c r="V8" i="57"/>
  <c r="Y8" i="57"/>
  <c r="AG8" i="57"/>
  <c r="AK8" i="57"/>
  <c r="AO8" i="57"/>
  <c r="AS8" i="57"/>
  <c r="AZ8" i="57"/>
  <c r="I9" i="57"/>
  <c r="P9" i="57"/>
  <c r="S9" i="57"/>
  <c r="V9" i="57"/>
  <c r="Y9" i="57"/>
  <c r="AG9" i="57"/>
  <c r="AK9" i="57"/>
  <c r="AO9" i="57"/>
  <c r="AS9" i="57"/>
  <c r="I10" i="57"/>
  <c r="P10" i="57"/>
  <c r="S10" i="57"/>
  <c r="V10" i="57"/>
  <c r="Y10" i="57"/>
  <c r="AG10" i="57"/>
  <c r="AK10" i="57"/>
  <c r="AO10" i="57"/>
  <c r="AS10" i="57"/>
  <c r="C11" i="57"/>
  <c r="P11" i="57"/>
  <c r="S11" i="57"/>
  <c r="V11" i="57"/>
  <c r="Y11" i="57"/>
  <c r="AG11" i="57"/>
  <c r="AK11" i="57"/>
  <c r="AO11" i="57"/>
  <c r="AS11" i="57"/>
  <c r="I12" i="57"/>
  <c r="C15" i="57"/>
  <c r="D16" i="57"/>
  <c r="AL26" i="57"/>
  <c r="AL27" i="57"/>
  <c r="AG26" i="57"/>
  <c r="AG27" i="57"/>
  <c r="AG28" i="57"/>
  <c r="AL28" i="57"/>
  <c r="AG29" i="57"/>
  <c r="AL29" i="57"/>
  <c r="C18" i="49"/>
  <c r="C20" i="49"/>
  <c r="AA8" i="49"/>
  <c r="AC8" i="49"/>
  <c r="AA6" i="49"/>
  <c r="AC6" i="49"/>
  <c r="AA5" i="49"/>
  <c r="AC5" i="49"/>
  <c r="AA4" i="49"/>
  <c r="AC4" i="49"/>
  <c r="AA2" i="49"/>
  <c r="CC2" i="47"/>
  <c r="CC6" i="47"/>
  <c r="CE6" i="47"/>
  <c r="CC5" i="47"/>
  <c r="CE5" i="47"/>
  <c r="CC4" i="47"/>
  <c r="CE4" i="47"/>
  <c r="AT6" i="54"/>
  <c r="AV6" i="54"/>
  <c r="AT10" i="54"/>
  <c r="AT9" i="54"/>
  <c r="AV9" i="54"/>
  <c r="AT7" i="54"/>
  <c r="AV7" i="54"/>
  <c r="AT5" i="54"/>
  <c r="AV5" i="54"/>
  <c r="AV3" i="54"/>
  <c r="AT5" i="48"/>
  <c r="AV5" i="48"/>
  <c r="AT4" i="48"/>
  <c r="AV4" i="48"/>
  <c r="AV2" i="48"/>
  <c r="AT6" i="48"/>
  <c r="C16" i="53"/>
  <c r="P43" i="49"/>
  <c r="P44" i="49"/>
  <c r="R44" i="49"/>
  <c r="U44" i="49"/>
  <c r="X42" i="49"/>
  <c r="K7" i="49"/>
  <c r="H13" i="49"/>
  <c r="P42" i="49"/>
  <c r="R42" i="49"/>
  <c r="U42" i="49"/>
  <c r="K9" i="47"/>
  <c r="T64" i="47"/>
  <c r="Q98" i="47"/>
  <c r="S98" i="47"/>
  <c r="V98" i="47"/>
  <c r="Y100" i="47"/>
  <c r="Q99" i="47"/>
  <c r="Q100" i="47"/>
  <c r="S100" i="47"/>
  <c r="V100" i="47"/>
  <c r="T15" i="47"/>
  <c r="W11" i="47"/>
  <c r="P96" i="54"/>
  <c r="R96" i="54"/>
  <c r="U96" i="54"/>
  <c r="P97" i="54"/>
  <c r="P98" i="54"/>
  <c r="R98" i="54"/>
  <c r="U98" i="54"/>
  <c r="K9" i="54"/>
  <c r="W83" i="54"/>
  <c r="W79" i="54"/>
  <c r="X79" i="54"/>
  <c r="X83" i="54"/>
  <c r="S64" i="54"/>
  <c r="W58" i="54"/>
  <c r="W62" i="54"/>
  <c r="V66" i="54"/>
  <c r="X58" i="54"/>
  <c r="X62" i="54"/>
  <c r="Q79" i="54"/>
  <c r="Q83" i="54"/>
  <c r="R79" i="54"/>
  <c r="R83" i="54"/>
  <c r="Q58" i="54"/>
  <c r="Q62" i="54"/>
  <c r="R58" i="54"/>
  <c r="R62" i="54"/>
  <c r="X81" i="54"/>
  <c r="W81" i="54"/>
  <c r="V81" i="54"/>
  <c r="V79" i="54"/>
  <c r="V83" i="54"/>
  <c r="R81" i="54"/>
  <c r="Q81" i="54"/>
  <c r="P81" i="54"/>
  <c r="P79" i="54"/>
  <c r="W30" i="54"/>
  <c r="W34" i="54"/>
  <c r="X30" i="54"/>
  <c r="X34" i="54"/>
  <c r="S15" i="54"/>
  <c r="W9" i="54"/>
  <c r="W13" i="54"/>
  <c r="X9" i="54"/>
  <c r="X13" i="54"/>
  <c r="Q30" i="54"/>
  <c r="Q34" i="54"/>
  <c r="R30" i="54"/>
  <c r="R34" i="54"/>
  <c r="Q9" i="54"/>
  <c r="Q13" i="54"/>
  <c r="R9" i="54"/>
  <c r="R13" i="54"/>
  <c r="C19" i="54"/>
  <c r="C20" i="54"/>
  <c r="C22" i="54"/>
  <c r="I9" i="54"/>
  <c r="P9" i="54"/>
  <c r="V9" i="54"/>
  <c r="V13" i="54"/>
  <c r="I10" i="54"/>
  <c r="P11" i="54"/>
  <c r="Q11" i="54"/>
  <c r="R11" i="54"/>
  <c r="V11" i="54"/>
  <c r="W11" i="54"/>
  <c r="X11" i="54"/>
  <c r="I12" i="54"/>
  <c r="D13" i="54"/>
  <c r="P13" i="54"/>
  <c r="D14" i="54"/>
  <c r="D15" i="54"/>
  <c r="P15" i="54"/>
  <c r="P30" i="54"/>
  <c r="V30" i="54"/>
  <c r="P32" i="54"/>
  <c r="Q32" i="54"/>
  <c r="R32" i="54"/>
  <c r="V32" i="54"/>
  <c r="W32" i="54"/>
  <c r="X32" i="54"/>
  <c r="P34" i="54"/>
  <c r="V34" i="54"/>
  <c r="P58" i="54"/>
  <c r="V58" i="54"/>
  <c r="V62" i="54"/>
  <c r="P60" i="54"/>
  <c r="Q60" i="54"/>
  <c r="R60" i="54"/>
  <c r="V60" i="54"/>
  <c r="W60" i="54"/>
  <c r="X60" i="54"/>
  <c r="P62" i="54"/>
  <c r="P64" i="54"/>
  <c r="P66" i="54"/>
  <c r="P83" i="54"/>
  <c r="AS6" i="53"/>
  <c r="AU6" i="53"/>
  <c r="C14" i="53"/>
  <c r="P34" i="53"/>
  <c r="P35" i="53"/>
  <c r="R35" i="53"/>
  <c r="U35" i="53"/>
  <c r="P33" i="53"/>
  <c r="R33" i="53"/>
  <c r="U33" i="53"/>
  <c r="Q10" i="53"/>
  <c r="P14" i="53"/>
  <c r="P97" i="53"/>
  <c r="P96" i="53"/>
  <c r="R96" i="53"/>
  <c r="U96" i="53"/>
  <c r="X96" i="53"/>
  <c r="P98" i="53"/>
  <c r="R98" i="53"/>
  <c r="U98" i="53"/>
  <c r="I9" i="53"/>
  <c r="I10" i="53"/>
  <c r="S64" i="48"/>
  <c r="K9" i="48"/>
  <c r="P98" i="48"/>
  <c r="R98" i="48"/>
  <c r="U98" i="48"/>
  <c r="P96" i="48"/>
  <c r="R96" i="48"/>
  <c r="U96" i="48"/>
  <c r="P97" i="48"/>
  <c r="S15" i="48"/>
  <c r="AB79" i="47"/>
  <c r="BF32" i="47"/>
  <c r="BF31" i="47"/>
  <c r="BH31" i="47"/>
  <c r="BJ33" i="47"/>
  <c r="BF33" i="47"/>
  <c r="BH33" i="47"/>
  <c r="R79" i="47"/>
  <c r="C22" i="49"/>
  <c r="H8" i="49"/>
  <c r="W33" i="49"/>
  <c r="R33" i="49"/>
  <c r="I9" i="49"/>
  <c r="K9" i="49"/>
  <c r="I10" i="49"/>
  <c r="I12" i="49"/>
  <c r="D13" i="49"/>
  <c r="P33" i="49"/>
  <c r="U33" i="49"/>
  <c r="P9" i="48"/>
  <c r="P13" i="48"/>
  <c r="P15" i="48"/>
  <c r="C14" i="48"/>
  <c r="C18" i="48"/>
  <c r="C20" i="48"/>
  <c r="C22" i="48"/>
  <c r="H8" i="48"/>
  <c r="I9" i="48"/>
  <c r="I10" i="48"/>
  <c r="I12" i="48"/>
  <c r="D15" i="48"/>
  <c r="P64" i="48"/>
  <c r="W79" i="47"/>
  <c r="W81" i="47"/>
  <c r="R60" i="47"/>
  <c r="AT5" i="47"/>
  <c r="AT6" i="47"/>
  <c r="AT7" i="47"/>
  <c r="AT8" i="47"/>
  <c r="I9" i="47"/>
  <c r="AT9" i="47"/>
  <c r="I10" i="47"/>
  <c r="AT10" i="47"/>
  <c r="AT11" i="47"/>
  <c r="I12" i="47"/>
  <c r="AT12" i="47"/>
  <c r="AT13" i="47"/>
  <c r="C14" i="47"/>
  <c r="C18" i="47"/>
  <c r="C20" i="47"/>
  <c r="D15" i="47"/>
  <c r="Q15" i="47"/>
  <c r="AT21" i="47"/>
  <c r="AT22" i="47"/>
  <c r="AT23" i="47"/>
  <c r="AT24" i="47"/>
  <c r="AT25" i="47"/>
  <c r="AT26" i="47"/>
  <c r="AT27" i="47"/>
  <c r="AT28" i="47"/>
  <c r="AT29" i="47"/>
  <c r="Q64" i="47"/>
  <c r="D3" i="47"/>
  <c r="C23" i="49"/>
  <c r="W60" i="47"/>
  <c r="V11" i="47"/>
  <c r="X11" i="47"/>
  <c r="AB11" i="47"/>
  <c r="V30" i="47"/>
  <c r="X32" i="47"/>
  <c r="Z32" i="47"/>
  <c r="Z118" i="57"/>
  <c r="S23" i="57"/>
  <c r="T21" i="57"/>
  <c r="T118" i="57"/>
  <c r="AM22" i="60"/>
  <c r="AM31" i="60"/>
  <c r="AM32" i="60"/>
  <c r="AM6" i="60"/>
  <c r="P30" i="48"/>
  <c r="Y60" i="48"/>
  <c r="T58" i="48"/>
  <c r="AA58" i="48"/>
  <c r="AA58" i="47"/>
  <c r="Z30" i="47"/>
  <c r="AA11" i="47"/>
  <c r="Q11" i="47"/>
  <c r="V79" i="47"/>
  <c r="V83" i="47"/>
  <c r="S81" i="47"/>
  <c r="Z58" i="47"/>
  <c r="Q60" i="47"/>
  <c r="X9" i="47"/>
  <c r="Z11" i="47"/>
  <c r="Y11" i="47"/>
  <c r="Q58" i="47"/>
  <c r="AA9" i="47"/>
  <c r="Z81" i="47"/>
  <c r="Q79" i="47"/>
  <c r="Q83" i="47"/>
  <c r="V9" i="47"/>
  <c r="V32" i="47"/>
  <c r="Q32" i="47"/>
  <c r="Y79" i="47"/>
  <c r="S79" i="47"/>
  <c r="V60" i="47"/>
  <c r="V13" i="47"/>
  <c r="AA30" i="47"/>
  <c r="AA34" i="47"/>
  <c r="U30" i="47"/>
  <c r="W9" i="47"/>
  <c r="Y83" i="47"/>
  <c r="Y81" i="47"/>
  <c r="U60" i="47"/>
  <c r="U79" i="47"/>
  <c r="U81" i="47"/>
  <c r="X81" i="47"/>
  <c r="S60" i="47"/>
  <c r="T11" i="47"/>
  <c r="V9" i="48"/>
  <c r="R9" i="48"/>
  <c r="R13" i="48"/>
  <c r="V58" i="48"/>
  <c r="V62" i="48"/>
  <c r="T30" i="48"/>
  <c r="T34" i="48"/>
  <c r="W58" i="48"/>
  <c r="AM21" i="53"/>
  <c r="AM30" i="53"/>
  <c r="AM25" i="53"/>
  <c r="T81" i="47"/>
  <c r="T11" i="48"/>
  <c r="S9" i="47"/>
  <c r="S13" i="47"/>
  <c r="Z58" i="48"/>
  <c r="X79" i="48"/>
  <c r="X83" i="48"/>
  <c r="U79" i="48"/>
  <c r="U83" i="48"/>
  <c r="R79" i="48"/>
  <c r="S79" i="48"/>
  <c r="S83" i="48"/>
  <c r="S58" i="48"/>
  <c r="AA60" i="48"/>
  <c r="S60" i="48"/>
  <c r="W9" i="48"/>
  <c r="W13" i="48"/>
  <c r="Q9" i="48"/>
  <c r="Y30" i="48"/>
  <c r="Y34" i="48"/>
  <c r="W32" i="48"/>
  <c r="AA11" i="48"/>
  <c r="S11" i="48"/>
  <c r="R81" i="48"/>
  <c r="Z81" i="48"/>
  <c r="Z62" i="48"/>
  <c r="Y66" i="48"/>
  <c r="R83" i="48"/>
  <c r="AA30" i="48"/>
  <c r="AA34" i="48"/>
  <c r="U30" i="48"/>
  <c r="U34" i="48"/>
  <c r="S62" i="48"/>
  <c r="Z60" i="48"/>
  <c r="R60" i="48"/>
  <c r="Q13" i="48"/>
  <c r="V32" i="48"/>
  <c r="Z11" i="48"/>
  <c r="Y9" i="48"/>
  <c r="Y13" i="48"/>
  <c r="S81" i="48"/>
  <c r="AA81" i="48"/>
  <c r="AA62" i="48"/>
  <c r="W62" i="48"/>
  <c r="T62" i="48"/>
  <c r="S66" i="48"/>
  <c r="Z9" i="48"/>
  <c r="T9" i="48"/>
  <c r="T13" i="48"/>
  <c r="X60" i="48"/>
  <c r="P60" i="48"/>
  <c r="P34" i="48"/>
  <c r="T32" i="48"/>
  <c r="X11" i="48"/>
  <c r="S9" i="48"/>
  <c r="V13" i="48"/>
  <c r="U81" i="48"/>
  <c r="Z79" i="48"/>
  <c r="Z83" i="48"/>
  <c r="X58" i="48"/>
  <c r="X62" i="48"/>
  <c r="U58" i="48"/>
  <c r="R58" i="48"/>
  <c r="R62" i="48"/>
  <c r="Z13" i="48"/>
  <c r="Y79" i="48"/>
  <c r="Y83" i="48"/>
  <c r="Y58" i="48"/>
  <c r="Y62" i="48"/>
  <c r="W60" i="48"/>
  <c r="W30" i="48"/>
  <c r="W34" i="48"/>
  <c r="Q30" i="48"/>
  <c r="Q34" i="48"/>
  <c r="S30" i="48"/>
  <c r="S34" i="48"/>
  <c r="AA32" i="48"/>
  <c r="S32" i="48"/>
  <c r="W11" i="48"/>
  <c r="R11" i="48"/>
  <c r="V81" i="48"/>
  <c r="U62" i="48"/>
  <c r="AA9" i="48"/>
  <c r="AA13" i="48"/>
  <c r="U9" i="48"/>
  <c r="V60" i="48"/>
  <c r="Z32" i="48"/>
  <c r="R32" i="48"/>
  <c r="V11" i="48"/>
  <c r="Q11" i="48"/>
  <c r="W81" i="48"/>
  <c r="W79" i="48"/>
  <c r="W83" i="48"/>
  <c r="T79" i="48"/>
  <c r="Q79" i="48"/>
  <c r="Q83" i="48"/>
  <c r="U13" i="48"/>
  <c r="P79" i="48"/>
  <c r="P83" i="48"/>
  <c r="P58" i="48"/>
  <c r="P62" i="48"/>
  <c r="U60" i="48"/>
  <c r="X30" i="48"/>
  <c r="R30" i="48"/>
  <c r="R34" i="48"/>
  <c r="V30" i="48"/>
  <c r="V34" i="48"/>
  <c r="Y32" i="48"/>
  <c r="Q32" i="48"/>
  <c r="U11" i="48"/>
  <c r="P11" i="48"/>
  <c r="P81" i="48"/>
  <c r="X81" i="48"/>
  <c r="AA79" i="48"/>
  <c r="AA83" i="48"/>
  <c r="AA81" i="47"/>
  <c r="Y11" i="48"/>
  <c r="X9" i="48"/>
  <c r="X13" i="48"/>
  <c r="V79" i="48"/>
  <c r="V83" i="48"/>
  <c r="Z30" i="48"/>
  <c r="Z34" i="48"/>
  <c r="P16" i="53"/>
  <c r="P28" i="53"/>
  <c r="P15" i="53"/>
  <c r="S11" i="47"/>
  <c r="W133" i="57"/>
  <c r="Y81" i="48"/>
  <c r="P32" i="48"/>
  <c r="X34" i="48"/>
  <c r="BJ31" i="47"/>
  <c r="T81" i="48"/>
  <c r="U32" i="48"/>
  <c r="Q60" i="48"/>
  <c r="Q58" i="48"/>
  <c r="Q62" i="48"/>
  <c r="T83" i="48"/>
  <c r="Q81" i="48"/>
  <c r="S13" i="48"/>
  <c r="X32" i="48"/>
  <c r="T60" i="48"/>
  <c r="U32" i="47"/>
  <c r="W48" i="57"/>
  <c r="AK33" i="57"/>
  <c r="S89" i="57"/>
  <c r="S97" i="57"/>
  <c r="T95" i="57"/>
  <c r="T89" i="57"/>
  <c r="S94" i="57"/>
  <c r="AT8" i="61"/>
  <c r="AV8" i="61"/>
  <c r="C22" i="61"/>
  <c r="H8" i="61"/>
  <c r="W9" i="61"/>
  <c r="W13" i="61"/>
  <c r="S18" i="61"/>
  <c r="W11" i="61"/>
  <c r="X13" i="61"/>
  <c r="W30" i="61"/>
  <c r="W34" i="61"/>
  <c r="S32" i="61"/>
  <c r="AA32" i="61"/>
  <c r="U58" i="61"/>
  <c r="Q60" i="61"/>
  <c r="Y60" i="61"/>
  <c r="U62" i="61"/>
  <c r="S79" i="61"/>
  <c r="S83" i="61"/>
  <c r="AA79" i="61"/>
  <c r="AA83" i="61"/>
  <c r="W81" i="61"/>
  <c r="R9" i="61"/>
  <c r="R13" i="61"/>
  <c r="Z9" i="61"/>
  <c r="Z13" i="61"/>
  <c r="R11" i="61"/>
  <c r="Z11" i="61"/>
  <c r="AA13" i="61"/>
  <c r="R30" i="61"/>
  <c r="Z30" i="61"/>
  <c r="Z34" i="61"/>
  <c r="V32" i="61"/>
  <c r="R34" i="61"/>
  <c r="Y38" i="61"/>
  <c r="P58" i="61"/>
  <c r="P62" i="61"/>
  <c r="X58" i="61"/>
  <c r="X62" i="61"/>
  <c r="T60" i="61"/>
  <c r="V79" i="61"/>
  <c r="V83" i="61"/>
  <c r="R81" i="61"/>
  <c r="Z81" i="61"/>
  <c r="AA11" i="61"/>
  <c r="S30" i="61"/>
  <c r="S34" i="61"/>
  <c r="AA30" i="61"/>
  <c r="W32" i="61"/>
  <c r="AA34" i="61"/>
  <c r="Q58" i="61"/>
  <c r="Y58" i="61"/>
  <c r="Y62" i="61"/>
  <c r="U60" i="61"/>
  <c r="Q62" i="61"/>
  <c r="W79" i="61"/>
  <c r="W83" i="61"/>
  <c r="S81" i="61"/>
  <c r="AA81" i="61"/>
  <c r="R58" i="61"/>
  <c r="Z58" i="61"/>
  <c r="Z62" i="61"/>
  <c r="V60" i="61"/>
  <c r="R62" i="61"/>
  <c r="P79" i="61"/>
  <c r="X79" i="61"/>
  <c r="X83" i="61"/>
  <c r="T81" i="61"/>
  <c r="P83" i="61"/>
  <c r="AV5" i="61"/>
  <c r="S58" i="61"/>
  <c r="AA58" i="61"/>
  <c r="AA62" i="61"/>
  <c r="W60" i="61"/>
  <c r="S62" i="61"/>
  <c r="Q79" i="61"/>
  <c r="Q83" i="61"/>
  <c r="Y79" i="61"/>
  <c r="Y83" i="61"/>
  <c r="U81" i="61"/>
  <c r="V30" i="61"/>
  <c r="V34" i="61"/>
  <c r="R32" i="61"/>
  <c r="Z32" i="61"/>
  <c r="T58" i="61"/>
  <c r="T62" i="61"/>
  <c r="P60" i="61"/>
  <c r="X60" i="61"/>
  <c r="R79" i="61"/>
  <c r="R83" i="61"/>
  <c r="Z79" i="61"/>
  <c r="Z83" i="61"/>
  <c r="V81" i="61"/>
  <c r="AT10" i="61"/>
  <c r="R9" i="49"/>
  <c r="R19" i="49"/>
  <c r="U19" i="49"/>
  <c r="P9" i="49"/>
  <c r="W19" i="49"/>
  <c r="U29" i="49"/>
  <c r="P29" i="49"/>
  <c r="V19" i="49"/>
  <c r="Q29" i="49"/>
  <c r="W29" i="49"/>
  <c r="W9" i="49"/>
  <c r="R29" i="49"/>
  <c r="U9" i="49"/>
  <c r="P19" i="49"/>
  <c r="P31" i="49"/>
  <c r="Q9" i="49"/>
  <c r="V29" i="49"/>
  <c r="Q19" i="49"/>
  <c r="V9" i="49"/>
  <c r="C23" i="61"/>
  <c r="CE2" i="47"/>
  <c r="C22" i="60"/>
  <c r="AT23" i="60"/>
  <c r="AS14" i="60"/>
  <c r="AS16" i="60"/>
  <c r="X98" i="53"/>
  <c r="AS14" i="53"/>
  <c r="C22" i="53"/>
  <c r="AT18" i="53"/>
  <c r="AT20" i="53"/>
  <c r="B25" i="53"/>
  <c r="AM12" i="53"/>
  <c r="AP12" i="53"/>
  <c r="H23" i="53"/>
  <c r="AM34" i="53"/>
  <c r="AM22" i="53"/>
  <c r="AM8" i="53"/>
  <c r="AM31" i="53"/>
  <c r="AM15" i="53"/>
  <c r="AM23" i="53"/>
  <c r="AM13" i="53"/>
  <c r="AM24" i="53"/>
  <c r="AM7" i="53"/>
  <c r="AM14" i="53"/>
  <c r="AM29" i="53"/>
  <c r="AM5" i="53"/>
  <c r="AP5" i="53"/>
  <c r="AM6" i="53"/>
  <c r="AM33" i="53"/>
  <c r="AM20" i="53"/>
  <c r="H17" i="53"/>
  <c r="C23" i="53"/>
  <c r="AT23" i="53"/>
  <c r="AS16" i="53"/>
  <c r="AU14" i="53"/>
  <c r="AU16" i="53"/>
  <c r="AT16" i="53"/>
  <c r="K10" i="64"/>
  <c r="M18" i="64"/>
  <c r="K18" i="64"/>
  <c r="I18" i="64"/>
  <c r="AT18" i="60"/>
  <c r="H8" i="53"/>
  <c r="AU14" i="60"/>
  <c r="AU16" i="60"/>
  <c r="C23" i="48"/>
  <c r="Q133" i="57"/>
  <c r="T133" i="57"/>
  <c r="Z133" i="57"/>
  <c r="S66" i="61"/>
  <c r="R37" i="49"/>
  <c r="Y98" i="47"/>
  <c r="AV10" i="54"/>
  <c r="AT12" i="54"/>
  <c r="P13" i="60"/>
  <c r="P27" i="60"/>
  <c r="S27" i="60"/>
  <c r="P28" i="60"/>
  <c r="P30" i="60"/>
  <c r="P29" i="60"/>
  <c r="P15" i="60"/>
  <c r="P14" i="60"/>
  <c r="P16" i="60"/>
  <c r="R18" i="48"/>
  <c r="AC2" i="49"/>
  <c r="AC10" i="49"/>
  <c r="AA10" i="49"/>
  <c r="X98" i="60"/>
  <c r="AY4" i="57"/>
  <c r="BA4" i="57"/>
  <c r="BA10" i="57"/>
  <c r="V87" i="48"/>
  <c r="X33" i="60"/>
  <c r="H12" i="60"/>
  <c r="Z148" i="57"/>
  <c r="Q118" i="57"/>
  <c r="AM24" i="60"/>
  <c r="T9" i="61"/>
  <c r="T13" i="61"/>
  <c r="V9" i="61"/>
  <c r="V13" i="61"/>
  <c r="T11" i="61"/>
  <c r="Y11" i="61"/>
  <c r="Q30" i="61"/>
  <c r="Q34" i="61"/>
  <c r="R38" i="61"/>
  <c r="R41" i="61"/>
  <c r="U30" i="61"/>
  <c r="U34" i="61"/>
  <c r="Y30" i="61"/>
  <c r="Y34" i="61"/>
  <c r="U32" i="61"/>
  <c r="R60" i="61"/>
  <c r="T79" i="61"/>
  <c r="T83" i="61"/>
  <c r="S87" i="61"/>
  <c r="S90" i="61"/>
  <c r="X81" i="61"/>
  <c r="P32" i="61"/>
  <c r="X32" i="61"/>
  <c r="V58" i="61"/>
  <c r="V62" i="61"/>
  <c r="S60" i="61"/>
  <c r="U79" i="61"/>
  <c r="U83" i="61"/>
  <c r="Y81" i="61"/>
  <c r="U9" i="61"/>
  <c r="U13" i="61"/>
  <c r="Y9" i="61"/>
  <c r="Y13" i="61"/>
  <c r="Q11" i="61"/>
  <c r="V11" i="61"/>
  <c r="Q13" i="61"/>
  <c r="R18" i="61"/>
  <c r="T30" i="61"/>
  <c r="T34" i="61"/>
  <c r="X30" i="61"/>
  <c r="X34" i="61"/>
  <c r="Q32" i="61"/>
  <c r="Y32" i="61"/>
  <c r="W62" i="61"/>
  <c r="V66" i="61"/>
  <c r="Z60" i="61"/>
  <c r="P81" i="61"/>
  <c r="X18" i="61"/>
  <c r="AB10" i="49"/>
  <c r="L6" i="60"/>
  <c r="K6" i="60"/>
  <c r="K7" i="60"/>
  <c r="K7" i="47"/>
  <c r="H13" i="47"/>
  <c r="L6" i="47"/>
  <c r="K6" i="47"/>
  <c r="AB14" i="49"/>
  <c r="C25" i="49"/>
  <c r="C24" i="49"/>
  <c r="AB12" i="49"/>
  <c r="C19" i="64"/>
  <c r="K21" i="64"/>
  <c r="B20" i="64"/>
  <c r="BD12" i="57"/>
  <c r="BD14" i="57"/>
  <c r="T91" i="61"/>
  <c r="S93" i="61"/>
  <c r="H25" i="61"/>
  <c r="V93" i="61"/>
  <c r="I23" i="61"/>
  <c r="U91" i="61"/>
  <c r="Q47" i="61"/>
  <c r="R47" i="61"/>
  <c r="U47" i="61"/>
  <c r="H17" i="61"/>
  <c r="S38" i="61"/>
  <c r="S41" i="61"/>
  <c r="X98" i="54"/>
  <c r="X96" i="54"/>
  <c r="K7" i="54"/>
  <c r="H13" i="54"/>
  <c r="R47" i="47"/>
  <c r="S47" i="47"/>
  <c r="CE10" i="47"/>
  <c r="CC8" i="47"/>
  <c r="CE8" i="47"/>
  <c r="C22" i="47"/>
  <c r="S38" i="54"/>
  <c r="X96" i="48"/>
  <c r="K7" i="48"/>
  <c r="H13" i="48"/>
  <c r="X98" i="48"/>
  <c r="X38" i="61"/>
  <c r="X41" i="61"/>
  <c r="U44" i="61"/>
  <c r="AT16" i="60"/>
  <c r="AT20" i="60"/>
  <c r="B25" i="60"/>
  <c r="Y33" i="57"/>
  <c r="K7" i="57"/>
  <c r="X33" i="53"/>
  <c r="X35" i="53"/>
  <c r="AV10" i="61"/>
  <c r="AU10" i="61"/>
  <c r="Y87" i="61"/>
  <c r="Y66" i="61"/>
  <c r="P87" i="61"/>
  <c r="P90" i="61"/>
  <c r="P93" i="61"/>
  <c r="H23" i="61"/>
  <c r="V87" i="61"/>
  <c r="V90" i="61"/>
  <c r="P66" i="61"/>
  <c r="R18" i="54"/>
  <c r="R38" i="54"/>
  <c r="R41" i="54"/>
  <c r="X41" i="54"/>
  <c r="U44" i="54"/>
  <c r="S18" i="54"/>
  <c r="U91" i="47"/>
  <c r="V91" i="47"/>
  <c r="L6" i="57"/>
  <c r="S13" i="60"/>
  <c r="AP14" i="53"/>
  <c r="G23" i="53"/>
  <c r="Y18" i="61"/>
  <c r="Y41" i="61"/>
  <c r="V44" i="61"/>
  <c r="R31" i="49"/>
  <c r="Q31" i="49"/>
  <c r="P35" i="49"/>
  <c r="P37" i="49"/>
  <c r="P39" i="49"/>
  <c r="I17" i="49"/>
  <c r="U31" i="49"/>
  <c r="V31" i="49"/>
  <c r="U35" i="49"/>
  <c r="U37" i="49"/>
  <c r="U39" i="49"/>
  <c r="I23" i="49"/>
  <c r="W31" i="49"/>
  <c r="S18" i="48"/>
  <c r="S38" i="48"/>
  <c r="R38" i="48"/>
  <c r="R41" i="48"/>
  <c r="Y18" i="48"/>
  <c r="X18" i="48"/>
  <c r="X38" i="48"/>
  <c r="Y38" i="48"/>
  <c r="P87" i="54"/>
  <c r="R36" i="49"/>
  <c r="AV10" i="48"/>
  <c r="AV12" i="54"/>
  <c r="AU12" i="54"/>
  <c r="C20" i="57"/>
  <c r="C17" i="57"/>
  <c r="C19" i="57"/>
  <c r="C23" i="60"/>
  <c r="P30" i="53"/>
  <c r="P13" i="53"/>
  <c r="S13" i="53"/>
  <c r="P27" i="53"/>
  <c r="S27" i="53"/>
  <c r="P29" i="53"/>
  <c r="AV6" i="48"/>
  <c r="P66" i="48"/>
  <c r="V66" i="48"/>
  <c r="V90" i="48"/>
  <c r="Y87" i="48"/>
  <c r="Y90" i="48"/>
  <c r="P87" i="48"/>
  <c r="P90" i="48"/>
  <c r="S87" i="48"/>
  <c r="S90" i="48"/>
  <c r="CC10" i="47"/>
  <c r="S68" i="57"/>
  <c r="T61" i="57"/>
  <c r="S54" i="57"/>
  <c r="S69" i="57"/>
  <c r="T67" i="57"/>
  <c r="Y52" i="57"/>
  <c r="S55" i="57"/>
  <c r="S57" i="57"/>
  <c r="T55" i="57"/>
  <c r="T49" i="57"/>
  <c r="S62" i="57"/>
  <c r="S50" i="57"/>
  <c r="S66" i="57"/>
  <c r="W14" i="57"/>
  <c r="W82" i="57"/>
  <c r="AF33" i="57"/>
  <c r="AM30" i="60"/>
  <c r="AM13" i="60"/>
  <c r="AM7" i="60"/>
  <c r="AM34" i="60"/>
  <c r="AM12" i="60"/>
  <c r="AM23" i="60"/>
  <c r="AM15" i="60"/>
  <c r="AM5" i="60"/>
  <c r="AP5" i="60"/>
  <c r="H17" i="60"/>
  <c r="AM21" i="60"/>
  <c r="AM25" i="60"/>
  <c r="AM29" i="60"/>
  <c r="AM8" i="60"/>
  <c r="H8" i="60"/>
  <c r="AT8" i="48"/>
  <c r="AV8" i="48"/>
  <c r="Z9" i="47"/>
  <c r="Z13" i="47"/>
  <c r="R32" i="47"/>
  <c r="Y58" i="47"/>
  <c r="Z34" i="47"/>
  <c r="AA13" i="47"/>
  <c r="T9" i="47"/>
  <c r="T13" i="47"/>
  <c r="T18" i="47"/>
  <c r="V34" i="47"/>
  <c r="AA79" i="47"/>
  <c r="AA83" i="47"/>
  <c r="Z87" i="47"/>
  <c r="Q62" i="47"/>
  <c r="Q9" i="47"/>
  <c r="Q13" i="47"/>
  <c r="T60" i="47"/>
  <c r="AB32" i="47"/>
  <c r="Y9" i="47"/>
  <c r="Y13" i="47"/>
  <c r="Y18" i="47"/>
  <c r="T58" i="47"/>
  <c r="T62" i="47"/>
  <c r="X30" i="47"/>
  <c r="S83" i="47"/>
  <c r="Y32" i="47"/>
  <c r="U83" i="47"/>
  <c r="T87" i="47"/>
  <c r="R9" i="47"/>
  <c r="R13" i="47"/>
  <c r="Y30" i="47"/>
  <c r="Y34" i="47"/>
  <c r="Y38" i="47"/>
  <c r="AB60" i="47"/>
  <c r="W32" i="47"/>
  <c r="AB9" i="47"/>
  <c r="AB13" i="47"/>
  <c r="T32" i="47"/>
  <c r="Y62" i="47"/>
  <c r="T79" i="47"/>
  <c r="T83" i="47"/>
  <c r="W30" i="47"/>
  <c r="W34" i="47"/>
  <c r="X79" i="47"/>
  <c r="X83" i="47"/>
  <c r="W87" i="47"/>
  <c r="U58" i="47"/>
  <c r="U62" i="47"/>
  <c r="T66" i="47"/>
  <c r="R83" i="47"/>
  <c r="Q87" i="47"/>
  <c r="Z60" i="47"/>
  <c r="X58" i="47"/>
  <c r="X62" i="47"/>
  <c r="Y60" i="47"/>
  <c r="X34" i="47"/>
  <c r="AA32" i="47"/>
  <c r="V81" i="47"/>
  <c r="S30" i="47"/>
  <c r="S34" i="47"/>
  <c r="AA60" i="47"/>
  <c r="Q30" i="47"/>
  <c r="Q34" i="47"/>
  <c r="Q81" i="47"/>
  <c r="R11" i="47"/>
  <c r="R30" i="47"/>
  <c r="R34" i="47"/>
  <c r="S58" i="47"/>
  <c r="S62" i="47"/>
  <c r="AA62" i="47"/>
  <c r="Z66" i="47"/>
  <c r="AB83" i="47"/>
  <c r="Z62" i="47"/>
  <c r="X13" i="47"/>
  <c r="U9" i="47"/>
  <c r="U13" i="47"/>
  <c r="S18" i="47"/>
  <c r="R81" i="47"/>
  <c r="S32" i="47"/>
  <c r="W83" i="47"/>
  <c r="V58" i="47"/>
  <c r="V62" i="47"/>
  <c r="Z79" i="47"/>
  <c r="Z83" i="47"/>
  <c r="T30" i="47"/>
  <c r="T34" i="47"/>
  <c r="T38" i="47"/>
  <c r="R58" i="47"/>
  <c r="R62" i="47"/>
  <c r="Q66" i="47"/>
  <c r="W13" i="47"/>
  <c r="X60" i="47"/>
  <c r="U11" i="47"/>
  <c r="W58" i="47"/>
  <c r="W62" i="47"/>
  <c r="AB30" i="47"/>
  <c r="AB34" i="47"/>
  <c r="AB58" i="47"/>
  <c r="AB62" i="47"/>
  <c r="U34" i="47"/>
  <c r="V87" i="54"/>
  <c r="V90" i="54"/>
  <c r="C23" i="54"/>
  <c r="H8" i="54"/>
  <c r="X44" i="49"/>
  <c r="X98" i="61"/>
  <c r="S9" i="61"/>
  <c r="S13" i="61"/>
  <c r="U11" i="61"/>
  <c r="AA60" i="61"/>
  <c r="P30" i="61"/>
  <c r="P34" i="61"/>
  <c r="Q81" i="61"/>
  <c r="P9" i="61"/>
  <c r="P13" i="61"/>
  <c r="P11" i="61"/>
  <c r="Y41" i="47"/>
  <c r="V44" i="47"/>
  <c r="V47" i="47"/>
  <c r="I17" i="47"/>
  <c r="L6" i="49"/>
  <c r="K6" i="49"/>
  <c r="AP12" i="60"/>
  <c r="Y86" i="57"/>
  <c r="Y84" i="57"/>
  <c r="Y48" i="57"/>
  <c r="W49" i="57"/>
  <c r="Y22" i="57"/>
  <c r="Y16" i="57"/>
  <c r="AU15" i="54"/>
  <c r="C24" i="54"/>
  <c r="AU14" i="54"/>
  <c r="C25" i="54"/>
  <c r="X41" i="48"/>
  <c r="U44" i="48"/>
  <c r="S41" i="54"/>
  <c r="Y41" i="54"/>
  <c r="V44" i="54"/>
  <c r="Q47" i="54"/>
  <c r="R47" i="54"/>
  <c r="U91" i="54"/>
  <c r="V93" i="54"/>
  <c r="Y93" i="54"/>
  <c r="I23" i="54"/>
  <c r="T91" i="54"/>
  <c r="Q90" i="47"/>
  <c r="Q93" i="47"/>
  <c r="I23" i="47"/>
  <c r="W24" i="57"/>
  <c r="AF37" i="57"/>
  <c r="AK37" i="57"/>
  <c r="H13" i="57"/>
  <c r="BG6" i="47"/>
  <c r="BG17" i="47"/>
  <c r="BF11" i="47"/>
  <c r="BZ5" i="47"/>
  <c r="BW7" i="47"/>
  <c r="BW10" i="47"/>
  <c r="BX13" i="47"/>
  <c r="BF10" i="47"/>
  <c r="BG12" i="47"/>
  <c r="BE7" i="47"/>
  <c r="BG7" i="47"/>
  <c r="BF12" i="47"/>
  <c r="BE5" i="47"/>
  <c r="BG11" i="47"/>
  <c r="BX11" i="47"/>
  <c r="BE11" i="47"/>
  <c r="BY12" i="47"/>
  <c r="BY20" i="47"/>
  <c r="BY7" i="47"/>
  <c r="BF7" i="47"/>
  <c r="C23" i="47"/>
  <c r="BX6" i="47"/>
  <c r="BZ12" i="47"/>
  <c r="BG5" i="47"/>
  <c r="BZ10" i="47"/>
  <c r="BH7" i="47"/>
  <c r="BH9" i="47"/>
  <c r="BH18" i="47"/>
  <c r="BH5" i="47"/>
  <c r="BG9" i="47"/>
  <c r="BY9" i="47"/>
  <c r="BY13" i="47"/>
  <c r="BG8" i="47"/>
  <c r="BW11" i="47"/>
  <c r="BE9" i="47"/>
  <c r="BF6" i="47"/>
  <c r="BF8" i="47"/>
  <c r="H8" i="47"/>
  <c r="BX7" i="47"/>
  <c r="BW12" i="47"/>
  <c r="BW20" i="47"/>
  <c r="BF5" i="47"/>
  <c r="BY5" i="47"/>
  <c r="BE10" i="47"/>
  <c r="BY11" i="47"/>
  <c r="BH8" i="47"/>
  <c r="BE6" i="47"/>
  <c r="BE17" i="47"/>
  <c r="BZ8" i="47"/>
  <c r="BZ11" i="47"/>
  <c r="BY10" i="47"/>
  <c r="BY8" i="47"/>
  <c r="BF9" i="47"/>
  <c r="BH12" i="47"/>
  <c r="BH19" i="47"/>
  <c r="BX10" i="47"/>
  <c r="BW6" i="47"/>
  <c r="BY6" i="47"/>
  <c r="BY18" i="47"/>
  <c r="BX12" i="47"/>
  <c r="BW13" i="47"/>
  <c r="BZ7" i="47"/>
  <c r="BE13" i="47"/>
  <c r="BE12" i="47"/>
  <c r="BE19" i="47"/>
  <c r="BZ6" i="47"/>
  <c r="BH10" i="47"/>
  <c r="BX5" i="47"/>
  <c r="BW5" i="47"/>
  <c r="BH11" i="47"/>
  <c r="BG10" i="47"/>
  <c r="BG13" i="47"/>
  <c r="BX8" i="47"/>
  <c r="BE8" i="47"/>
  <c r="BH6" i="47"/>
  <c r="BH17" i="47"/>
  <c r="BH23" i="47"/>
  <c r="BF27" i="47"/>
  <c r="BF38" i="47"/>
  <c r="BH13" i="47"/>
  <c r="BZ13" i="47"/>
  <c r="BF13" i="47"/>
  <c r="BW9" i="47"/>
  <c r="BW19" i="47"/>
  <c r="BW8" i="47"/>
  <c r="BX9" i="47"/>
  <c r="BX19" i="47"/>
  <c r="BZ9" i="47"/>
  <c r="K6" i="54"/>
  <c r="L6" i="54"/>
  <c r="Z90" i="47"/>
  <c r="Y18" i="57"/>
  <c r="T41" i="47"/>
  <c r="Z18" i="47"/>
  <c r="Y90" i="61"/>
  <c r="Y93" i="61"/>
  <c r="I25" i="61"/>
  <c r="Y14" i="57"/>
  <c r="W15" i="57"/>
  <c r="Y20" i="57"/>
  <c r="V47" i="61"/>
  <c r="I17" i="61"/>
  <c r="T90" i="47"/>
  <c r="T93" i="47"/>
  <c r="I25" i="47"/>
  <c r="AU12" i="61"/>
  <c r="C24" i="61"/>
  <c r="AU14" i="61"/>
  <c r="C25" i="61"/>
  <c r="CD10" i="47"/>
  <c r="L6" i="61"/>
  <c r="K6" i="61"/>
  <c r="Y50" i="57"/>
  <c r="P90" i="54"/>
  <c r="S41" i="48"/>
  <c r="Z93" i="47"/>
  <c r="H25" i="47"/>
  <c r="K6" i="53"/>
  <c r="L6" i="53"/>
  <c r="K6" i="48"/>
  <c r="L6" i="48"/>
  <c r="AT10" i="48"/>
  <c r="AU10" i="48"/>
  <c r="S38" i="47"/>
  <c r="S41" i="47"/>
  <c r="W66" i="47"/>
  <c r="W90" i="47"/>
  <c r="W93" i="47"/>
  <c r="H23" i="47"/>
  <c r="Z38" i="47"/>
  <c r="Z41" i="47"/>
  <c r="W44" i="47"/>
  <c r="W47" i="47"/>
  <c r="H17" i="47"/>
  <c r="AY5" i="57"/>
  <c r="AY10" i="57"/>
  <c r="C22" i="57"/>
  <c r="Y41" i="48"/>
  <c r="V44" i="48"/>
  <c r="Y82" i="57"/>
  <c r="W83" i="57"/>
  <c r="H12" i="53"/>
  <c r="K7" i="53"/>
  <c r="R47" i="48"/>
  <c r="V47" i="48"/>
  <c r="I17" i="48"/>
  <c r="Q47" i="48"/>
  <c r="P93" i="48"/>
  <c r="H23" i="48"/>
  <c r="T91" i="48"/>
  <c r="U91" i="48"/>
  <c r="V93" i="48"/>
  <c r="I23" i="48"/>
  <c r="Y93" i="48"/>
  <c r="I25" i="48"/>
  <c r="U47" i="48"/>
  <c r="H17" i="48"/>
  <c r="AU12" i="48"/>
  <c r="C24" i="48"/>
  <c r="AU14" i="48"/>
  <c r="C25" i="48"/>
  <c r="H8" i="57"/>
  <c r="C23" i="57"/>
  <c r="W20" i="57"/>
  <c r="W21" i="57"/>
  <c r="W25" i="57"/>
  <c r="Z25" i="57"/>
  <c r="H17" i="57"/>
  <c r="BZ18" i="47"/>
  <c r="BY19" i="47"/>
  <c r="AK41" i="57"/>
  <c r="H25" i="57"/>
  <c r="H23" i="57"/>
  <c r="AY16" i="57"/>
  <c r="C24" i="57"/>
  <c r="AY12" i="57"/>
  <c r="C25" i="57"/>
  <c r="AY19" i="57"/>
  <c r="BW18" i="47"/>
  <c r="BW25" i="47"/>
  <c r="BW30" i="47"/>
  <c r="BF17" i="47"/>
  <c r="BG18" i="47"/>
  <c r="BZ20" i="47"/>
  <c r="I23" i="57"/>
  <c r="AF41" i="57"/>
  <c r="I25" i="57"/>
  <c r="S93" i="48"/>
  <c r="H25" i="48"/>
  <c r="CD12" i="47"/>
  <c r="C24" i="47"/>
  <c r="CD14" i="47"/>
  <c r="B25" i="47"/>
  <c r="BZ19" i="47"/>
  <c r="BE18" i="47"/>
  <c r="BX18" i="47"/>
  <c r="BX25" i="47"/>
  <c r="BX30" i="47"/>
  <c r="BG19" i="47"/>
  <c r="P93" i="54"/>
  <c r="S93" i="54"/>
  <c r="H23" i="54"/>
  <c r="AP14" i="60"/>
  <c r="G23" i="60"/>
  <c r="H23" i="60"/>
  <c r="BE23" i="47"/>
  <c r="BG23" i="47"/>
  <c r="BE27" i="47"/>
  <c r="BE38" i="47"/>
  <c r="V47" i="54"/>
  <c r="I17" i="54"/>
  <c r="U47" i="54"/>
  <c r="H17" i="54"/>
  <c r="BF18" i="47"/>
  <c r="BX20" i="47"/>
  <c r="BF19" i="47"/>
  <c r="BY25" i="47"/>
  <c r="BY30" i="47"/>
  <c r="BZ25" i="47"/>
  <c r="BZ30" i="47"/>
  <c r="BF23" i="47"/>
  <c r="W151" i="57"/>
  <c r="T151" i="57"/>
  <c r="Z151" i="57"/>
  <c r="Q151" i="57"/>
  <c r="Q153" i="57"/>
  <c r="Q155" i="57"/>
  <c r="Q157" i="57"/>
  <c r="I17" i="57"/>
</calcChain>
</file>

<file path=xl/sharedStrings.xml><?xml version="1.0" encoding="utf-8"?>
<sst xmlns="http://schemas.openxmlformats.org/spreadsheetml/2006/main" count="2799" uniqueCount="422">
  <si>
    <t>Température</t>
  </si>
  <si>
    <t>Zp Terrain</t>
  </si>
  <si>
    <t>Masse T off</t>
  </si>
  <si>
    <t>Roulement</t>
  </si>
  <si>
    <t xml:space="preserve"> </t>
  </si>
  <si>
    <t>R</t>
  </si>
  <si>
    <t>P</t>
  </si>
  <si>
    <t>Alti. Terrain</t>
  </si>
  <si>
    <t>QNH</t>
  </si>
  <si>
    <t>MASSE 900 kg</t>
  </si>
  <si>
    <t>Piste béton</t>
  </si>
  <si>
    <t>Piste herbe</t>
  </si>
  <si>
    <t>P 15</t>
  </si>
  <si>
    <t>Std  -  20</t>
  </si>
  <si>
    <t>Std</t>
  </si>
  <si>
    <t>Std  +  20</t>
  </si>
  <si>
    <t>Nature piste</t>
  </si>
  <si>
    <t>MASSE 1050 kg</t>
  </si>
  <si>
    <t>MASSE 850 kg</t>
  </si>
  <si>
    <t>MASSE 700 kg</t>
  </si>
  <si>
    <t>MASSE 865 kg</t>
  </si>
  <si>
    <t>MASSE 665 kg</t>
  </si>
  <si>
    <t>Vent effectif</t>
  </si>
  <si>
    <t>fct Zp</t>
  </si>
  <si>
    <t>fct Tempé</t>
  </si>
  <si>
    <t>fct Pds</t>
  </si>
  <si>
    <t>fct vent</t>
  </si>
  <si>
    <t>Std - 20</t>
  </si>
  <si>
    <t>Std + 20</t>
  </si>
  <si>
    <t>fct tempé</t>
  </si>
  <si>
    <t>Std C4</t>
  </si>
  <si>
    <t>Tempé</t>
  </si>
  <si>
    <t>piste en herbe</t>
  </si>
  <si>
    <t>piste en dur</t>
  </si>
  <si>
    <t>Roulage après le toucher</t>
  </si>
  <si>
    <t>Distance totale après le Passage 15 mètres</t>
  </si>
  <si>
    <t>Piste en dur</t>
  </si>
  <si>
    <t>Piste en herbe</t>
  </si>
  <si>
    <t>Freinage modéré</t>
  </si>
  <si>
    <t>Sans frein</t>
  </si>
  <si>
    <t>Rpd</t>
  </si>
  <si>
    <t>Rph</t>
  </si>
  <si>
    <t>fct  0/4</t>
  </si>
  <si>
    <t>fct  4/8</t>
  </si>
  <si>
    <t>Herbe</t>
  </si>
  <si>
    <t>Béton</t>
  </si>
  <si>
    <t>fct Piste</t>
  </si>
  <si>
    <t>Remplir les cases bleues</t>
  </si>
  <si>
    <t>en mètres</t>
  </si>
  <si>
    <t>P15pd</t>
  </si>
  <si>
    <t>P15ph</t>
  </si>
  <si>
    <t>P 15pd</t>
  </si>
  <si>
    <t>P 15ph</t>
  </si>
  <si>
    <t>Sans frein sur herbe</t>
  </si>
  <si>
    <t>Frein modéré Dur Herbe</t>
  </si>
  <si>
    <t>Passage 15 m freinage modéré Dur Herbe</t>
  </si>
  <si>
    <t>Passage 15 m sans frein Herbe</t>
  </si>
  <si>
    <t>d</t>
  </si>
  <si>
    <t>Résultats</t>
  </si>
  <si>
    <t>fct 0/4</t>
  </si>
  <si>
    <t>fct 4/8</t>
  </si>
  <si>
    <t>MASSE 1045 kg</t>
  </si>
  <si>
    <t>MASSE 845 kg</t>
  </si>
  <si>
    <t>Std -20</t>
  </si>
  <si>
    <t>h</t>
  </si>
  <si>
    <t>Kg</t>
  </si>
  <si>
    <t>Ft</t>
  </si>
  <si>
    <t>° Celsius</t>
  </si>
  <si>
    <t>Hpa</t>
  </si>
  <si>
    <t>Kt</t>
  </si>
  <si>
    <t>QFU</t>
  </si>
  <si>
    <t>Direction Vent</t>
  </si>
  <si>
    <t>Force Vent</t>
  </si>
  <si>
    <t>Vent Effectif</t>
  </si>
  <si>
    <t>en degrés</t>
  </si>
  <si>
    <t>en degrés exacts</t>
  </si>
  <si>
    <t xml:space="preserve">    </t>
  </si>
  <si>
    <r>
      <t xml:space="preserve">Décollage             </t>
    </r>
    <r>
      <rPr>
        <sz val="10"/>
        <rFont val="Arial"/>
        <family val="2"/>
      </rPr>
      <t xml:space="preserve">                   0</t>
    </r>
  </si>
  <si>
    <r>
      <t xml:space="preserve">Atterrissage        </t>
    </r>
    <r>
      <rPr>
        <sz val="10"/>
        <rFont val="Arial"/>
        <family val="2"/>
      </rPr>
      <t xml:space="preserve">  0</t>
    </r>
  </si>
  <si>
    <t>fct piste</t>
  </si>
  <si>
    <t>Devis de Masse</t>
  </si>
  <si>
    <t>Indicatif</t>
  </si>
  <si>
    <t>Masse à vide</t>
  </si>
  <si>
    <t>Pilote</t>
  </si>
  <si>
    <t>Pax avant</t>
  </si>
  <si>
    <t>Pax arrière</t>
  </si>
  <si>
    <t>Bagages</t>
  </si>
  <si>
    <t>essence</t>
  </si>
  <si>
    <t>Litres</t>
  </si>
  <si>
    <t>Rés. Principal</t>
  </si>
  <si>
    <t>Rés. Gauche</t>
  </si>
  <si>
    <t>Rés. Droit</t>
  </si>
  <si>
    <t>Total</t>
  </si>
  <si>
    <t>Poids avion</t>
  </si>
  <si>
    <t>Paramétres</t>
  </si>
  <si>
    <t>Vent traversier</t>
  </si>
  <si>
    <t>Altitude Pression</t>
  </si>
  <si>
    <t>Passage 15 m</t>
  </si>
  <si>
    <t>Distance</t>
  </si>
  <si>
    <t>Distance totale</t>
  </si>
  <si>
    <t>après impact</t>
  </si>
  <si>
    <t>après passage</t>
  </si>
  <si>
    <t>à Vso</t>
  </si>
  <si>
    <t>des 15 mètres</t>
  </si>
  <si>
    <t>Freinage modéré piste en herbe ou en dur</t>
  </si>
  <si>
    <t>Sans frein piste en herbe</t>
  </si>
  <si>
    <t xml:space="preserve">Std </t>
  </si>
  <si>
    <t xml:space="preserve">Tempé </t>
  </si>
  <si>
    <t>Vent</t>
  </si>
  <si>
    <t>Direction</t>
  </si>
  <si>
    <t>Force</t>
  </si>
  <si>
    <t>Beta</t>
  </si>
  <si>
    <t>Alpha</t>
  </si>
  <si>
    <t>V effect</t>
  </si>
  <si>
    <t>V trav</t>
  </si>
  <si>
    <t>UA</t>
  </si>
  <si>
    <t>Distances de décollage sur terrain court (DR 400 / 120)</t>
  </si>
  <si>
    <t>Distances d'atterrissage sur terrain court (DR 400 / 120)</t>
  </si>
  <si>
    <t>Distances de décollage sur terrain court (DR 400 / 108)</t>
  </si>
  <si>
    <t>Distances d'atterrissage sur terrain court (DR 400 / 108)</t>
  </si>
  <si>
    <t>AT</t>
  </si>
  <si>
    <t>Distances de décollage sur terrain court (DR 400 / 140)</t>
  </si>
  <si>
    <t>Distances d'atterrissage sur terrain court (DR 400 / 140)</t>
  </si>
  <si>
    <t>altitude</t>
  </si>
  <si>
    <t>Masse 865 kg</t>
  </si>
  <si>
    <t>feet</t>
  </si>
  <si>
    <t>C°</t>
  </si>
  <si>
    <t>piste Herbe</t>
  </si>
  <si>
    <t>piste Béton</t>
  </si>
  <si>
    <t>Masse 665 kg</t>
  </si>
  <si>
    <t>fct  masse</t>
  </si>
  <si>
    <t>fct température</t>
  </si>
  <si>
    <t>fictive</t>
  </si>
  <si>
    <t>fct altitude</t>
  </si>
  <si>
    <t>fct nature piste</t>
  </si>
  <si>
    <t>fct effet vent</t>
  </si>
  <si>
    <t>Calcul Vent</t>
  </si>
  <si>
    <t>V eff</t>
  </si>
  <si>
    <t>V tra</t>
  </si>
  <si>
    <t>piste en dur ou herbe</t>
  </si>
  <si>
    <t>sur herbe</t>
  </si>
  <si>
    <t>P 15m</t>
  </si>
  <si>
    <t xml:space="preserve">R imp Vso </t>
  </si>
  <si>
    <t>Frein mod</t>
  </si>
  <si>
    <t>Freinage mod</t>
  </si>
  <si>
    <t>P 15 m</t>
  </si>
  <si>
    <t>R de Vso</t>
  </si>
  <si>
    <t>Sans freinage sur H</t>
  </si>
  <si>
    <t>fct  température</t>
  </si>
  <si>
    <t>fct  altitude</t>
  </si>
  <si>
    <t>fct  vent</t>
  </si>
  <si>
    <t>à Vs1</t>
  </si>
  <si>
    <t>Atterrissage</t>
  </si>
  <si>
    <t>Décollage</t>
  </si>
  <si>
    <t>JB</t>
  </si>
  <si>
    <t>Pax</t>
  </si>
  <si>
    <t>Z = 0</t>
  </si>
  <si>
    <t>Tempé + 30</t>
  </si>
  <si>
    <t>Longueur</t>
  </si>
  <si>
    <t>Z = 2000</t>
  </si>
  <si>
    <t>Z = 4000</t>
  </si>
  <si>
    <t>Z = 6000</t>
  </si>
  <si>
    <t>a =</t>
  </si>
  <si>
    <t>b =</t>
  </si>
  <si>
    <t>y = a + bx</t>
  </si>
  <si>
    <t>Fct Tempé</t>
  </si>
  <si>
    <t>Z</t>
  </si>
  <si>
    <t>Poids 580 kg</t>
  </si>
  <si>
    <t>Poids 530 kg</t>
  </si>
  <si>
    <t>Poids 480 kg</t>
  </si>
  <si>
    <t>m</t>
  </si>
  <si>
    <t>Zp</t>
  </si>
  <si>
    <t>a</t>
  </si>
  <si>
    <t>b</t>
  </si>
  <si>
    <t>Freinage modéré piste en herbe</t>
  </si>
  <si>
    <t>Freinage modéré piste en dur</t>
  </si>
  <si>
    <t>480 kg</t>
  </si>
  <si>
    <t>totale</t>
  </si>
  <si>
    <t>Roulage</t>
  </si>
  <si>
    <t xml:space="preserve">Distance </t>
  </si>
  <si>
    <t>Fct Vent</t>
  </si>
  <si>
    <t>Fct Zp</t>
  </si>
  <si>
    <t>mètres</t>
  </si>
  <si>
    <t>à 1,3 Vs1g</t>
  </si>
  <si>
    <t>jusqu'à 1,1 Vs1g</t>
  </si>
  <si>
    <t>Ppd</t>
  </si>
  <si>
    <t>Pph</t>
  </si>
  <si>
    <t>0/4000</t>
  </si>
  <si>
    <t>4000/8000</t>
  </si>
  <si>
    <t>Std-20</t>
  </si>
  <si>
    <t>Std+20</t>
  </si>
  <si>
    <t>pour 1,1 Vs1g</t>
  </si>
  <si>
    <t>T/O</t>
  </si>
  <si>
    <t>ATR</t>
  </si>
  <si>
    <t>Rés. Gauchel</t>
  </si>
  <si>
    <t>T off</t>
  </si>
  <si>
    <t>MASSE 0 kg</t>
  </si>
  <si>
    <t>0 / 11</t>
  </si>
  <si>
    <t>11 / 22</t>
  </si>
  <si>
    <t>22 / 33</t>
  </si>
  <si>
    <t>33 / 45</t>
  </si>
  <si>
    <t>45 / 56</t>
  </si>
  <si>
    <t>Tcalc</t>
  </si>
  <si>
    <t>fct temp</t>
  </si>
  <si>
    <t>pour 1,3 Vs1g</t>
  </si>
  <si>
    <t>Masse  0 kg</t>
  </si>
  <si>
    <t>NM</t>
  </si>
  <si>
    <t>Distances de décollage sur terrain court (DR 400 / 160)</t>
  </si>
  <si>
    <t>Distances d'atterrissage sur terrain court (DR 400 / 160)</t>
  </si>
  <si>
    <t>pour Vso</t>
  </si>
  <si>
    <t>1,3 Vs1g</t>
  </si>
  <si>
    <t>4/8000</t>
  </si>
  <si>
    <t>385</t>
  </si>
  <si>
    <t>0,0575</t>
  </si>
  <si>
    <t>510</t>
  </si>
  <si>
    <t>0,045</t>
  </si>
  <si>
    <t>425</t>
  </si>
  <si>
    <t>0,06625</t>
  </si>
  <si>
    <t>565</t>
  </si>
  <si>
    <t>0,05</t>
  </si>
  <si>
    <t>460</t>
  </si>
  <si>
    <t>0,07625</t>
  </si>
  <si>
    <t>540</t>
  </si>
  <si>
    <t>0,05375</t>
  </si>
  <si>
    <t>410</t>
  </si>
  <si>
    <t>0,08625</t>
  </si>
  <si>
    <t>605</t>
  </si>
  <si>
    <t>0,06375</t>
  </si>
  <si>
    <t>455</t>
  </si>
  <si>
    <t>0,10125</t>
  </si>
  <si>
    <t>675</t>
  </si>
  <si>
    <t>0,0725</t>
  </si>
  <si>
    <t>475</t>
  </si>
  <si>
    <t>0,1225</t>
  </si>
  <si>
    <t>270</t>
  </si>
  <si>
    <t>0,02</t>
  </si>
  <si>
    <t>235</t>
  </si>
  <si>
    <t>0,02875</t>
  </si>
  <si>
    <t>295</t>
  </si>
  <si>
    <t>0,02375</t>
  </si>
  <si>
    <t>260</t>
  </si>
  <si>
    <t>0,0325</t>
  </si>
  <si>
    <t>325</t>
  </si>
  <si>
    <t>0,02625</t>
  </si>
  <si>
    <t>280</t>
  </si>
  <si>
    <t>0,0375</t>
  </si>
  <si>
    <t>300</t>
  </si>
  <si>
    <t>0,025</t>
  </si>
  <si>
    <t>250</t>
  </si>
  <si>
    <t>330</t>
  </si>
  <si>
    <t>0,04375</t>
  </si>
  <si>
    <t>365</t>
  </si>
  <si>
    <t>290</t>
  </si>
  <si>
    <t>0,05125</t>
  </si>
  <si>
    <t>0,01</t>
  </si>
  <si>
    <t>420</t>
  </si>
  <si>
    <t>0,01125</t>
  </si>
  <si>
    <t>450</t>
  </si>
  <si>
    <t>440</t>
  </si>
  <si>
    <t>0,0125</t>
  </si>
  <si>
    <t>470</t>
  </si>
  <si>
    <t>0,01375</t>
  </si>
  <si>
    <t>515</t>
  </si>
  <si>
    <t>545</t>
  </si>
  <si>
    <t>530</t>
  </si>
  <si>
    <t>0,01625</t>
  </si>
  <si>
    <t>570</t>
  </si>
  <si>
    <t>0,015</t>
  </si>
  <si>
    <t>560</t>
  </si>
  <si>
    <t>0,0175</t>
  </si>
  <si>
    <t>350</t>
  </si>
  <si>
    <t>0,0075</t>
  </si>
  <si>
    <t>345</t>
  </si>
  <si>
    <t>0,00875</t>
  </si>
  <si>
    <t>370</t>
  </si>
  <si>
    <t>360</t>
  </si>
  <si>
    <t>390</t>
  </si>
  <si>
    <t>375</t>
  </si>
  <si>
    <t>415</t>
  </si>
  <si>
    <t>445</t>
  </si>
  <si>
    <t>435</t>
  </si>
  <si>
    <t>$=^^</t>
  </si>
  <si>
    <t>Distances de décollage sur terrain court (Piper)</t>
  </si>
  <si>
    <t>Distances d'atterrissage sur terrain court (Piper)</t>
  </si>
  <si>
    <t>Passage</t>
  </si>
  <si>
    <t xml:space="preserve">Pax </t>
  </si>
  <si>
    <t>Fct Piste</t>
  </si>
  <si>
    <t>Centrage</t>
  </si>
  <si>
    <t>masse</t>
  </si>
  <si>
    <t>Avion vide</t>
  </si>
  <si>
    <t>pilotes</t>
  </si>
  <si>
    <t>Essence</t>
  </si>
  <si>
    <t>Br. Levier(m)</t>
  </si>
  <si>
    <t>Moment (m.kg)</t>
  </si>
  <si>
    <t>Br. Levier</t>
  </si>
  <si>
    <t>Moments</t>
  </si>
  <si>
    <t>Pilotes</t>
  </si>
  <si>
    <t>Essence AR</t>
  </si>
  <si>
    <t>Essence AV</t>
  </si>
  <si>
    <t>les extrèmes</t>
  </si>
  <si>
    <t>pente/poids</t>
  </si>
  <si>
    <t>centrage</t>
  </si>
  <si>
    <t>Masse</t>
  </si>
  <si>
    <t>Poids Toff</t>
  </si>
  <si>
    <t>pente/distance</t>
  </si>
  <si>
    <t>poids pilote+ pax</t>
  </si>
  <si>
    <t>Poids</t>
  </si>
  <si>
    <t>moments</t>
  </si>
  <si>
    <t>poids bagages</t>
  </si>
  <si>
    <t>total</t>
  </si>
  <si>
    <t>avion vide</t>
  </si>
  <si>
    <t>32,5% CMA</t>
  </si>
  <si>
    <t>%</t>
  </si>
  <si>
    <t>"Hors Centrage"</t>
  </si>
  <si>
    <t>pente graphe</t>
  </si>
  <si>
    <t>26% CMA</t>
  </si>
  <si>
    <t>"Centrage correct"</t>
  </si>
  <si>
    <t>1/2</t>
  </si>
  <si>
    <t>=a + bx</t>
  </si>
  <si>
    <t>2/3</t>
  </si>
  <si>
    <t>3/4</t>
  </si>
  <si>
    <t>4/5</t>
  </si>
  <si>
    <t>Z =2000</t>
  </si>
  <si>
    <t>&lt;2000</t>
  </si>
  <si>
    <t>&lt;4000</t>
  </si>
  <si>
    <t>&lt;6000</t>
  </si>
  <si>
    <t>Fct Poids</t>
  </si>
  <si>
    <t>&gt;530</t>
  </si>
  <si>
    <t>&lt;530</t>
  </si>
  <si>
    <t>a+bx</t>
  </si>
  <si>
    <t xml:space="preserve">Fct Pds </t>
  </si>
  <si>
    <t>Fct Ve</t>
  </si>
  <si>
    <t>Distances de décollage  (Tecnam P 2002)</t>
  </si>
  <si>
    <t>Distances d'atterrissage  (Tecnam P 2002)</t>
  </si>
  <si>
    <t>Moment</t>
  </si>
  <si>
    <t>Pilote + Pax</t>
  </si>
  <si>
    <t>Tempé calcul</t>
  </si>
  <si>
    <t>Br.levier</t>
  </si>
  <si>
    <t>masse à vide</t>
  </si>
  <si>
    <t>pilote</t>
  </si>
  <si>
    <t>passager</t>
  </si>
  <si>
    <t>bagages</t>
  </si>
  <si>
    <t>Dist Roul</t>
  </si>
  <si>
    <t>pente</t>
  </si>
  <si>
    <t>"Hors centrage"</t>
  </si>
  <si>
    <t>Bras de levier</t>
  </si>
  <si>
    <t>m/kg</t>
  </si>
  <si>
    <t>Roue Gauche</t>
  </si>
  <si>
    <t>Roue Droite</t>
  </si>
  <si>
    <t>Roue Avant</t>
  </si>
  <si>
    <t>Carburant</t>
  </si>
  <si>
    <t>Masse ULM</t>
  </si>
  <si>
    <t>Remplir les cases en bleu</t>
  </si>
  <si>
    <t xml:space="preserve"> PJ</t>
  </si>
  <si>
    <t>PJ</t>
  </si>
  <si>
    <t>OR</t>
  </si>
  <si>
    <t>F JUJN</t>
  </si>
  <si>
    <t>Poids Maximum</t>
  </si>
  <si>
    <t>Position</t>
  </si>
  <si>
    <t>BJ</t>
  </si>
  <si>
    <t>UR</t>
  </si>
  <si>
    <t>dont parachute</t>
  </si>
  <si>
    <t>Version n°9</t>
  </si>
  <si>
    <t>Compléter les cases bleues</t>
  </si>
  <si>
    <t>Décollage    Passage aux 50 ft</t>
  </si>
  <si>
    <t>630 Kg</t>
  </si>
  <si>
    <t>std</t>
  </si>
  <si>
    <t>std+10</t>
  </si>
  <si>
    <t>std + 20</t>
  </si>
  <si>
    <t>Température sol</t>
  </si>
  <si>
    <t>50ft</t>
  </si>
  <si>
    <t>Std + 10</t>
  </si>
  <si>
    <t>0 ft</t>
  </si>
  <si>
    <t>Altitude terrain</t>
  </si>
  <si>
    <t>Température Std</t>
  </si>
  <si>
    <t>2000 ft</t>
  </si>
  <si>
    <t xml:space="preserve">Std  + </t>
  </si>
  <si>
    <t>4000 ft</t>
  </si>
  <si>
    <t>Etat de la piste</t>
  </si>
  <si>
    <r>
      <t>Herbe (</t>
    </r>
    <r>
      <rPr>
        <b/>
        <sz val="14"/>
        <color theme="1"/>
        <rFont val="Calibri"/>
        <family val="2"/>
        <scheme val="minor"/>
      </rPr>
      <t>H</t>
    </r>
    <r>
      <rPr>
        <sz val="10"/>
        <rFont val="Arial"/>
      </rPr>
      <t>) ou Dur (</t>
    </r>
    <r>
      <rPr>
        <b/>
        <sz val="14"/>
        <color theme="1"/>
        <rFont val="Calibri"/>
        <family val="2"/>
        <scheme val="minor"/>
      </rPr>
      <t>D</t>
    </r>
    <r>
      <rPr>
        <sz val="14"/>
        <color theme="1"/>
        <rFont val="Calibri"/>
        <family val="2"/>
        <scheme val="minor"/>
      </rPr>
      <t>)</t>
    </r>
  </si>
  <si>
    <t>H</t>
  </si>
  <si>
    <r>
      <t xml:space="preserve">Si piste herbe  Sèche </t>
    </r>
    <r>
      <rPr>
        <b/>
        <sz val="14"/>
        <color theme="1"/>
        <rFont val="Calibri"/>
        <family val="2"/>
        <scheme val="minor"/>
      </rPr>
      <t>(S</t>
    </r>
    <r>
      <rPr>
        <sz val="10"/>
        <rFont val="Arial"/>
      </rPr>
      <t xml:space="preserve"> ) ou mouillée ( </t>
    </r>
    <r>
      <rPr>
        <b/>
        <sz val="14"/>
        <color theme="1"/>
        <rFont val="Calibri"/>
        <family val="2"/>
        <scheme val="minor"/>
      </rPr>
      <t>M</t>
    </r>
    <r>
      <rPr>
        <sz val="10"/>
        <rFont val="Arial"/>
      </rPr>
      <t xml:space="preserve"> )</t>
    </r>
  </si>
  <si>
    <t>S</t>
  </si>
  <si>
    <t>6000 ft</t>
  </si>
  <si>
    <t>Piste béton ou herbe</t>
  </si>
  <si>
    <t>Piste Herbe; Mouillée</t>
  </si>
  <si>
    <t>Distance décollage ( m ) 630Kg</t>
  </si>
  <si>
    <t>Distance Atterrissage ( m ) 630 Kg</t>
  </si>
  <si>
    <t>Atterrissage  Passage aux 15 m</t>
  </si>
  <si>
    <t>Passage des 50ft  ( m ) 630 Kg</t>
  </si>
  <si>
    <t>15 m</t>
  </si>
  <si>
    <t>D</t>
  </si>
  <si>
    <t>Devis de masse et centrage</t>
  </si>
  <si>
    <t>M</t>
  </si>
  <si>
    <t>Moment = Poids  x  Levier</t>
  </si>
  <si>
    <t>Levier</t>
  </si>
  <si>
    <t>Passage aux 50 ft</t>
  </si>
  <si>
    <t>(Kg)</t>
  </si>
  <si>
    <t>(mm)</t>
  </si>
  <si>
    <t xml:space="preserve">  (Kg,mm)</t>
  </si>
  <si>
    <t>Poids Pilote</t>
  </si>
  <si>
    <t>Poids Pax</t>
  </si>
  <si>
    <t>Poids Bagages</t>
  </si>
  <si>
    <t>Poids Carburant</t>
  </si>
  <si>
    <t>Poids Total</t>
  </si>
  <si>
    <t>Poids Total sans Carbu</t>
  </si>
  <si>
    <t>CG = moment / masse</t>
  </si>
  <si>
    <t>CG au Départ</t>
  </si>
  <si>
    <t>CG à l'arrivée</t>
  </si>
  <si>
    <t>kg</t>
  </si>
  <si>
    <t>650 kg</t>
  </si>
  <si>
    <t>600 kg</t>
  </si>
  <si>
    <t>800 mm         630 kg</t>
  </si>
  <si>
    <t>860 mm          630 kg</t>
  </si>
  <si>
    <t>550 kg</t>
  </si>
  <si>
    <t>500 kg</t>
  </si>
  <si>
    <t>720 mm         500 kg</t>
  </si>
  <si>
    <t>450 kg</t>
  </si>
  <si>
    <t>400 kg</t>
  </si>
  <si>
    <t>860 mm          436 kg</t>
  </si>
  <si>
    <t>mm</t>
  </si>
  <si>
    <t>760             780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</si>
</sst>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"/>
    <numFmt numFmtId="165" formatCode="0.0000"/>
    <numFmt numFmtId="166" formatCode="0.0"/>
    <numFmt numFmtId="167" formatCode="#,##0;[Black]\-#,##0"/>
    <numFmt numFmtId="168" formatCode="0_ ;\-0\ "/>
    <numFmt numFmtId="169" formatCode="_-* #,##0.00\ [$€-1]_-;\-* #,##0.00\ [$€-1]_-;_-* &quot;-&quot;??\ [$€-1]_-"/>
    <numFmt numFmtId="170" formatCode="#,##0.00_ ;\-#,##0.00\ "/>
    <numFmt numFmtId="171" formatCode="#,##0.000_ ;\-#,##0.000\ "/>
    <numFmt numFmtId="172" formatCode="_-* #,##0.000\ _€_-;\-* #,##0.000\ _€_-;_-* &quot;-&quot;???\ _€_-;_-@_-"/>
    <numFmt numFmtId="173" formatCode="0.0000000000"/>
  </numFmts>
  <fonts count="42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color indexed="12"/>
      <name val="Arial"/>
      <family val="2"/>
    </font>
    <font>
      <b/>
      <sz val="1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i/>
      <sz val="9"/>
      <color indexed="10"/>
      <name val="Arial"/>
      <family val="2"/>
    </font>
    <font>
      <b/>
      <sz val="9"/>
      <name val="Arial"/>
      <family val="2"/>
    </font>
    <font>
      <b/>
      <sz val="8"/>
      <color indexed="10"/>
      <name val="Arial"/>
      <family val="2"/>
    </font>
    <font>
      <b/>
      <sz val="9"/>
      <color indexed="10"/>
      <name val="Arial"/>
      <family val="2"/>
    </font>
    <font>
      <b/>
      <sz val="9"/>
      <color indexed="12"/>
      <name val="Arial"/>
      <family val="2"/>
    </font>
    <font>
      <b/>
      <sz val="13"/>
      <name val="Arial"/>
      <family val="2"/>
    </font>
    <font>
      <sz val="10"/>
      <color indexed="12"/>
      <name val="Arial"/>
    </font>
    <font>
      <sz val="10"/>
      <color indexed="10"/>
      <name val="Arial"/>
    </font>
    <font>
      <sz val="8"/>
      <name val="Arial"/>
    </font>
    <font>
      <b/>
      <i/>
      <sz val="8"/>
      <name val="Arial"/>
      <family val="2"/>
    </font>
    <font>
      <b/>
      <i/>
      <sz val="12"/>
      <name val="Arial"/>
      <family val="2"/>
    </font>
    <font>
      <b/>
      <sz val="10"/>
      <name val="Arial Black"/>
      <family val="2"/>
    </font>
    <font>
      <b/>
      <i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b/>
      <sz val="12"/>
      <color rgb="FFFF0000"/>
      <name val="Arial"/>
      <family val="2"/>
    </font>
    <font>
      <b/>
      <sz val="18"/>
      <color rgb="FFFF0000"/>
      <name val="Arial"/>
      <family val="2"/>
    </font>
    <font>
      <b/>
      <i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0" fontId="0" fillId="0" borderId="10" xfId="0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8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1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/>
    <xf numFmtId="0" fontId="0" fillId="0" borderId="4" xfId="0" applyBorder="1"/>
    <xf numFmtId="0" fontId="0" fillId="0" borderId="0" xfId="0" applyAlignment="1">
      <alignment horizontal="right" vertical="center"/>
    </xf>
    <xf numFmtId="0" fontId="10" fillId="0" borderId="12" xfId="0" applyFont="1" applyBorder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0" fillId="0" borderId="1" xfId="0" applyNumberFormat="1" applyBorder="1"/>
    <xf numFmtId="0" fontId="1" fillId="0" borderId="0" xfId="0" applyFont="1" applyAlignment="1">
      <alignment horizontal="center" vertical="top" wrapText="1"/>
    </xf>
    <xf numFmtId="1" fontId="1" fillId="3" borderId="8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2" fillId="0" borderId="12" xfId="0" applyFont="1" applyBorder="1" applyAlignment="1">
      <alignment vertical="center"/>
    </xf>
    <xf numFmtId="0" fontId="14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" fontId="19" fillId="3" borderId="20" xfId="0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1" fontId="9" fillId="3" borderId="2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0" fillId="0" borderId="1" xfId="0" applyNumberFormat="1" applyBorder="1" applyAlignment="1">
      <alignment vertical="center"/>
    </xf>
    <xf numFmtId="0" fontId="1" fillId="3" borderId="28" xfId="0" applyFont="1" applyFill="1" applyBorder="1" applyAlignment="1">
      <alignment horizontal="right" vertical="center"/>
    </xf>
    <xf numFmtId="1" fontId="1" fillId="3" borderId="29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166" fontId="1" fillId="3" borderId="8" xfId="0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2" fontId="0" fillId="0" borderId="1" xfId="0" applyNumberFormat="1" applyBorder="1"/>
    <xf numFmtId="0" fontId="16" fillId="4" borderId="30" xfId="0" applyFont="1" applyFill="1" applyBorder="1" applyAlignment="1" applyProtection="1">
      <alignment horizontal="center" vertical="center"/>
      <protection locked="0"/>
    </xf>
    <xf numFmtId="0" fontId="16" fillId="4" borderId="20" xfId="0" applyFont="1" applyFill="1" applyBorder="1" applyAlignment="1" applyProtection="1">
      <alignment horizontal="center" vertical="center"/>
      <protection locked="0"/>
    </xf>
    <xf numFmtId="0" fontId="16" fillId="4" borderId="31" xfId="0" applyFont="1" applyFill="1" applyBorder="1" applyAlignment="1" applyProtection="1">
      <alignment horizontal="center" vertical="center"/>
      <protection locked="0"/>
    </xf>
    <xf numFmtId="0" fontId="15" fillId="4" borderId="20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6" fillId="4" borderId="8" xfId="0" applyFont="1" applyFill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67" fontId="21" fillId="3" borderId="31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0" xfId="0" applyBorder="1"/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3" xfId="0" applyBorder="1"/>
    <xf numFmtId="0" fontId="0" fillId="0" borderId="44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2" borderId="49" xfId="0" applyFill="1" applyBorder="1"/>
    <xf numFmtId="0" fontId="0" fillId="2" borderId="50" xfId="0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3" borderId="6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53" xfId="0" applyFill="1" applyBorder="1" applyAlignment="1">
      <alignment vertical="center"/>
    </xf>
    <xf numFmtId="0" fontId="0" fillId="3" borderId="55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59" xfId="0" applyFill="1" applyBorder="1" applyAlignment="1">
      <alignment vertical="center"/>
    </xf>
    <xf numFmtId="0" fontId="0" fillId="3" borderId="62" xfId="0" applyFill="1" applyBorder="1" applyAlignment="1">
      <alignment vertical="center"/>
    </xf>
    <xf numFmtId="2" fontId="0" fillId="0" borderId="53" xfId="0" applyNumberFormat="1" applyBorder="1" applyAlignment="1">
      <alignment vertical="center"/>
    </xf>
    <xf numFmtId="2" fontId="0" fillId="0" borderId="61" xfId="0" applyNumberFormat="1" applyBorder="1" applyAlignment="1">
      <alignment vertical="center"/>
    </xf>
    <xf numFmtId="2" fontId="0" fillId="0" borderId="43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3" borderId="63" xfId="0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22" xfId="0" applyBorder="1" applyAlignment="1">
      <alignment vertical="center"/>
    </xf>
    <xf numFmtId="0" fontId="1" fillId="2" borderId="33" xfId="0" applyFont="1" applyFill="1" applyBorder="1" applyAlignment="1">
      <alignment horizontal="center"/>
    </xf>
    <xf numFmtId="0" fontId="1" fillId="2" borderId="64" xfId="0" applyFont="1" applyFill="1" applyBorder="1" applyAlignment="1">
      <alignment horizontal="center"/>
    </xf>
    <xf numFmtId="0" fontId="0" fillId="0" borderId="61" xfId="0" applyBorder="1" applyAlignment="1">
      <alignment vertical="center"/>
    </xf>
    <xf numFmtId="2" fontId="0" fillId="0" borderId="59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46" xfId="0" applyFont="1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0" fillId="3" borderId="60" xfId="0" applyFill="1" applyBorder="1" applyAlignment="1">
      <alignment horizontal="center"/>
    </xf>
    <xf numFmtId="0" fontId="1" fillId="0" borderId="59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0" fontId="0" fillId="0" borderId="1" xfId="0" applyBorder="1" applyAlignment="1">
      <alignment horizontal="right" vertical="center"/>
    </xf>
    <xf numFmtId="0" fontId="1" fillId="0" borderId="30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0" fillId="3" borderId="19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3" borderId="6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53" xfId="0" applyFont="1" applyBorder="1" applyAlignment="1">
      <alignment horizontal="center" vertical="center"/>
    </xf>
    <xf numFmtId="0" fontId="0" fillId="0" borderId="43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 vertical="top"/>
    </xf>
    <xf numFmtId="0" fontId="1" fillId="2" borderId="40" xfId="0" applyFont="1" applyFill="1" applyBorder="1" applyAlignment="1">
      <alignment horizontal="center"/>
    </xf>
    <xf numFmtId="2" fontId="0" fillId="0" borderId="55" xfId="0" applyNumberFormat="1" applyBorder="1" applyAlignment="1">
      <alignment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6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55" xfId="0" applyBorder="1"/>
    <xf numFmtId="0" fontId="0" fillId="0" borderId="59" xfId="0" applyBorder="1"/>
    <xf numFmtId="0" fontId="0" fillId="0" borderId="53" xfId="0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0" fillId="0" borderId="34" xfId="0" applyBorder="1"/>
    <xf numFmtId="0" fontId="0" fillId="5" borderId="56" xfId="0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6" fillId="0" borderId="44" xfId="0" applyFont="1" applyBorder="1" applyAlignment="1">
      <alignment horizontal="center"/>
    </xf>
    <xf numFmtId="0" fontId="1" fillId="0" borderId="56" xfId="0" applyFont="1" applyBorder="1"/>
    <xf numFmtId="0" fontId="1" fillId="0" borderId="56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1" fillId="2" borderId="55" xfId="0" applyFont="1" applyFill="1" applyBorder="1" applyAlignment="1">
      <alignment horizontal="center"/>
    </xf>
    <xf numFmtId="0" fontId="11" fillId="2" borderId="59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5" xfId="0" applyFont="1" applyFill="1" applyBorder="1" applyAlignment="1">
      <alignment horizontal="center"/>
    </xf>
    <xf numFmtId="0" fontId="0" fillId="0" borderId="65" xfId="0" applyBorder="1" applyAlignment="1">
      <alignment horizontal="right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0" fillId="0" borderId="8" xfId="0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3" borderId="28" xfId="0" applyFont="1" applyFill="1" applyBorder="1" applyAlignment="1">
      <alignment horizontal="right" vertical="center"/>
    </xf>
    <xf numFmtId="1" fontId="14" fillId="3" borderId="29" xfId="0" applyNumberFormat="1" applyFont="1" applyFill="1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0" fillId="7" borderId="68" xfId="0" applyFill="1" applyBorder="1" applyAlignment="1">
      <alignment vertical="center"/>
    </xf>
    <xf numFmtId="0" fontId="0" fillId="7" borderId="69" xfId="0" applyFill="1" applyBorder="1" applyAlignment="1">
      <alignment vertical="center"/>
    </xf>
    <xf numFmtId="0" fontId="1" fillId="7" borderId="70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7" borderId="32" xfId="0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66" xfId="0" applyFill="1" applyBorder="1" applyAlignment="1">
      <alignment vertical="center"/>
    </xf>
    <xf numFmtId="0" fontId="1" fillId="5" borderId="68" xfId="0" applyFon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0" fontId="0" fillId="5" borderId="70" xfId="0" applyFill="1" applyBorder="1" applyAlignment="1">
      <alignment vertical="center"/>
    </xf>
    <xf numFmtId="0" fontId="1" fillId="8" borderId="68" xfId="0" applyFont="1" applyFill="1" applyBorder="1" applyAlignment="1">
      <alignment horizontal="center" vertical="center"/>
    </xf>
    <xf numFmtId="0" fontId="0" fillId="8" borderId="69" xfId="0" applyFill="1" applyBorder="1" applyAlignment="1">
      <alignment vertical="center"/>
    </xf>
    <xf numFmtId="0" fontId="0" fillId="8" borderId="70" xfId="0" applyFill="1" applyBorder="1" applyAlignment="1">
      <alignment vertical="center"/>
    </xf>
    <xf numFmtId="0" fontId="0" fillId="0" borderId="71" xfId="0" applyBorder="1" applyAlignment="1">
      <alignment horizontal="right" vertical="center"/>
    </xf>
    <xf numFmtId="0" fontId="1" fillId="5" borderId="65" xfId="0" applyFont="1" applyFill="1" applyBorder="1" applyAlignment="1">
      <alignment horizontal="right" vertical="center"/>
    </xf>
    <xf numFmtId="0" fontId="1" fillId="8" borderId="65" xfId="0" applyFont="1" applyFill="1" applyBorder="1" applyAlignment="1">
      <alignment horizontal="right" vertical="center"/>
    </xf>
    <xf numFmtId="0" fontId="0" fillId="5" borderId="72" xfId="0" applyFill="1" applyBorder="1" applyAlignment="1">
      <alignment horizontal="right" vertical="center"/>
    </xf>
    <xf numFmtId="0" fontId="0" fillId="8" borderId="72" xfId="0" applyFill="1" applyBorder="1" applyAlignment="1">
      <alignment horizontal="right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1" fontId="1" fillId="0" borderId="56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6" fillId="0" borderId="55" xfId="0" applyNumberFormat="1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3" fontId="0" fillId="0" borderId="59" xfId="0" applyNumberForma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" fillId="5" borderId="51" xfId="0" applyFont="1" applyFill="1" applyBorder="1"/>
    <xf numFmtId="0" fontId="1" fillId="5" borderId="36" xfId="0" applyFont="1" applyFill="1" applyBorder="1"/>
    <xf numFmtId="2" fontId="0" fillId="8" borderId="1" xfId="0" applyNumberFormat="1" applyFill="1" applyBorder="1"/>
    <xf numFmtId="0" fontId="0" fillId="8" borderId="1" xfId="0" applyFill="1" applyBorder="1"/>
    <xf numFmtId="0" fontId="0" fillId="8" borderId="2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1" fillId="0" borderId="36" xfId="0" applyFont="1" applyBorder="1"/>
    <xf numFmtId="0" fontId="1" fillId="8" borderId="51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164" fontId="6" fillId="8" borderId="51" xfId="0" applyNumberFormat="1" applyFont="1" applyFill="1" applyBorder="1" applyAlignment="1">
      <alignment horizontal="center" vertical="center"/>
    </xf>
    <xf numFmtId="164" fontId="6" fillId="0" borderId="52" xfId="0" applyNumberFormat="1" applyFont="1" applyBorder="1" applyAlignment="1">
      <alignment horizontal="center" vertical="center"/>
    </xf>
    <xf numFmtId="0" fontId="0" fillId="8" borderId="51" xfId="0" applyFill="1" applyBorder="1" applyAlignment="1">
      <alignment horizontal="center" vertical="center"/>
    </xf>
    <xf numFmtId="0" fontId="0" fillId="8" borderId="51" xfId="0" applyFill="1" applyBorder="1"/>
    <xf numFmtId="0" fontId="0" fillId="8" borderId="36" xfId="0" applyFill="1" applyBorder="1" applyAlignment="1">
      <alignment horizontal="center" vertical="center"/>
    </xf>
    <xf numFmtId="0" fontId="0" fillId="8" borderId="36" xfId="0" applyFill="1" applyBorder="1"/>
    <xf numFmtId="0" fontId="0" fillId="8" borderId="6" xfId="0" applyFill="1" applyBorder="1" applyAlignment="1">
      <alignment horizontal="center" vertical="center"/>
    </xf>
    <xf numFmtId="0" fontId="0" fillId="5" borderId="2" xfId="0" applyFill="1" applyBorder="1"/>
    <xf numFmtId="0" fontId="0" fillId="5" borderId="3" xfId="0" applyFill="1" applyBorder="1"/>
    <xf numFmtId="0" fontId="0" fillId="5" borderId="73" xfId="0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2" fontId="0" fillId="5" borderId="1" xfId="0" applyNumberFormat="1" applyFill="1" applyBorder="1"/>
    <xf numFmtId="0" fontId="0" fillId="5" borderId="1" xfId="0" applyFill="1" applyBorder="1"/>
    <xf numFmtId="0" fontId="1" fillId="0" borderId="52" xfId="0" applyFont="1" applyBorder="1"/>
    <xf numFmtId="0" fontId="0" fillId="0" borderId="66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6" xfId="0" applyFill="1" applyBorder="1"/>
    <xf numFmtId="0" fontId="0" fillId="5" borderId="51" xfId="0" applyFill="1" applyBorder="1"/>
    <xf numFmtId="0" fontId="1" fillId="5" borderId="51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0" fillId="8" borderId="55" xfId="0" applyFill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8" borderId="42" xfId="0" applyFill="1" applyBorder="1" applyAlignment="1">
      <alignment horizontal="center"/>
    </xf>
    <xf numFmtId="0" fontId="0" fillId="0" borderId="69" xfId="0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0" fillId="8" borderId="43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/>
    </xf>
    <xf numFmtId="0" fontId="0" fillId="5" borderId="42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8" borderId="42" xfId="0" applyFill="1" applyBorder="1"/>
    <xf numFmtId="0" fontId="0" fillId="0" borderId="75" xfId="0" applyBorder="1" applyAlignment="1">
      <alignment vertical="center"/>
    </xf>
    <xf numFmtId="0" fontId="0" fillId="8" borderId="43" xfId="0" applyFill="1" applyBorder="1"/>
    <xf numFmtId="0" fontId="0" fillId="8" borderId="22" xfId="0" applyFill="1" applyBorder="1"/>
    <xf numFmtId="0" fontId="0" fillId="0" borderId="48" xfId="0" applyBorder="1"/>
    <xf numFmtId="0" fontId="0" fillId="5" borderId="72" xfId="0" applyFill="1" applyBorder="1" applyAlignment="1">
      <alignment horizontal="center" vertical="center"/>
    </xf>
    <xf numFmtId="0" fontId="0" fillId="5" borderId="71" xfId="0" applyFill="1" applyBorder="1"/>
    <xf numFmtId="0" fontId="0" fillId="5" borderId="67" xfId="0" applyFill="1" applyBorder="1"/>
    <xf numFmtId="0" fontId="0" fillId="5" borderId="66" xfId="0" applyFill="1" applyBorder="1"/>
    <xf numFmtId="164" fontId="6" fillId="5" borderId="51" xfId="0" applyNumberFormat="1" applyFont="1" applyFill="1" applyBorder="1" applyAlignment="1">
      <alignment horizontal="center" vertical="center"/>
    </xf>
    <xf numFmtId="164" fontId="1" fillId="3" borderId="49" xfId="0" applyNumberFormat="1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/>
    </xf>
    <xf numFmtId="164" fontId="1" fillId="5" borderId="8" xfId="0" applyNumberFormat="1" applyFont="1" applyFill="1" applyBorder="1" applyAlignment="1">
      <alignment horizontal="center" vertical="center"/>
    </xf>
    <xf numFmtId="164" fontId="1" fillId="8" borderId="8" xfId="0" applyNumberFormat="1" applyFont="1" applyFill="1" applyBorder="1" applyAlignment="1">
      <alignment horizontal="center" vertical="center"/>
    </xf>
    <xf numFmtId="164" fontId="1" fillId="5" borderId="49" xfId="0" applyNumberFormat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13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9" xfId="0" applyFill="1" applyBorder="1"/>
    <xf numFmtId="0" fontId="0" fillId="5" borderId="10" xfId="0" applyFill="1" applyBorder="1"/>
    <xf numFmtId="0" fontId="0" fillId="5" borderId="5" xfId="0" applyFill="1" applyBorder="1"/>
    <xf numFmtId="0" fontId="0" fillId="5" borderId="13" xfId="0" applyFill="1" applyBorder="1"/>
    <xf numFmtId="0" fontId="0" fillId="5" borderId="4" xfId="0" applyFill="1" applyBorder="1"/>
    <xf numFmtId="0" fontId="1" fillId="0" borderId="5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164" fontId="1" fillId="0" borderId="51" xfId="0" applyNumberFormat="1" applyFon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164" fontId="1" fillId="5" borderId="36" xfId="0" applyNumberFormat="1" applyFont="1" applyFill="1" applyBorder="1" applyAlignment="1">
      <alignment horizontal="center"/>
    </xf>
    <xf numFmtId="164" fontId="1" fillId="5" borderId="25" xfId="0" applyNumberFormat="1" applyFont="1" applyFill="1" applyBorder="1" applyAlignment="1">
      <alignment horizontal="center"/>
    </xf>
    <xf numFmtId="164" fontId="1" fillId="5" borderId="52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0" borderId="71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164" fontId="0" fillId="4" borderId="8" xfId="0" applyNumberFormat="1" applyFill="1" applyBorder="1"/>
    <xf numFmtId="0" fontId="6" fillId="0" borderId="1" xfId="0" applyFont="1" applyBorder="1"/>
    <xf numFmtId="164" fontId="6" fillId="0" borderId="1" xfId="0" applyNumberFormat="1" applyFont="1" applyBorder="1"/>
    <xf numFmtId="0" fontId="1" fillId="0" borderId="11" xfId="0" applyFont="1" applyBorder="1" applyAlignment="1">
      <alignment horizontal="center" vertical="center"/>
    </xf>
    <xf numFmtId="164" fontId="0" fillId="5" borderId="1" xfId="0" applyNumberFormat="1" applyFill="1" applyBorder="1"/>
    <xf numFmtId="0" fontId="6" fillId="5" borderId="67" xfId="0" applyFont="1" applyFill="1" applyBorder="1" applyAlignment="1">
      <alignment horizontal="center"/>
    </xf>
    <xf numFmtId="0" fontId="6" fillId="5" borderId="70" xfId="0" applyFont="1" applyFill="1" applyBorder="1" applyAlignment="1">
      <alignment horizontal="center"/>
    </xf>
    <xf numFmtId="0" fontId="1" fillId="0" borderId="51" xfId="0" applyFont="1" applyBorder="1"/>
    <xf numFmtId="0" fontId="1" fillId="5" borderId="52" xfId="0" applyFont="1" applyFill="1" applyBorder="1"/>
    <xf numFmtId="0" fontId="0" fillId="9" borderId="1" xfId="0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164" fontId="6" fillId="0" borderId="51" xfId="0" applyNumberFormat="1" applyFont="1" applyBorder="1" applyAlignment="1">
      <alignment horizontal="center" vertical="center"/>
    </xf>
    <xf numFmtId="164" fontId="6" fillId="5" borderId="5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6" fillId="0" borderId="56" xfId="0" applyFont="1" applyBorder="1" applyAlignment="1">
      <alignment horizontal="center"/>
    </xf>
    <xf numFmtId="0" fontId="0" fillId="0" borderId="59" xfId="0" applyBorder="1" applyAlignment="1">
      <alignment horizontal="left" vertic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5" borderId="53" xfId="0" applyFont="1" applyFill="1" applyBorder="1" applyAlignment="1">
      <alignment horizontal="center"/>
    </xf>
    <xf numFmtId="0" fontId="6" fillId="5" borderId="44" xfId="0" applyFont="1" applyFill="1" applyBorder="1" applyAlignment="1">
      <alignment horizontal="center"/>
    </xf>
    <xf numFmtId="0" fontId="6" fillId="5" borderId="55" xfId="0" applyFont="1" applyFill="1" applyBorder="1" applyAlignment="1">
      <alignment horizontal="center"/>
    </xf>
    <xf numFmtId="0" fontId="6" fillId="5" borderId="56" xfId="0" applyFont="1" applyFill="1" applyBorder="1" applyAlignment="1">
      <alignment horizontal="center"/>
    </xf>
    <xf numFmtId="0" fontId="6" fillId="5" borderId="59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0" fillId="0" borderId="65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6" fillId="5" borderId="59" xfId="0" applyFont="1" applyFill="1" applyBorder="1" applyAlignment="1">
      <alignment horizontal="center"/>
    </xf>
    <xf numFmtId="0" fontId="6" fillId="5" borderId="46" xfId="0" applyFont="1" applyFill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0" fillId="5" borderId="59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5" borderId="33" xfId="0" applyFill="1" applyBorder="1" applyAlignment="1">
      <alignment horizontal="center"/>
    </xf>
    <xf numFmtId="0" fontId="0" fillId="5" borderId="64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56" xfId="0" applyFill="1" applyBorder="1" applyAlignment="1">
      <alignment horizontal="center" vertical="center"/>
    </xf>
    <xf numFmtId="0" fontId="0" fillId="0" borderId="45" xfId="0" applyBorder="1"/>
    <xf numFmtId="0" fontId="0" fillId="5" borderId="45" xfId="0" applyFill="1" applyBorder="1"/>
    <xf numFmtId="0" fontId="0" fillId="5" borderId="46" xfId="0" applyFill="1" applyBorder="1"/>
    <xf numFmtId="0" fontId="0" fillId="5" borderId="41" xfId="0" applyFill="1" applyBorder="1" applyAlignment="1">
      <alignment horizontal="center"/>
    </xf>
    <xf numFmtId="0" fontId="0" fillId="5" borderId="44" xfId="0" applyFill="1" applyBorder="1" applyAlignment="1">
      <alignment horizontal="center" vertical="center"/>
    </xf>
    <xf numFmtId="0" fontId="0" fillId="0" borderId="71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5" borderId="7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5" borderId="25" xfId="0" applyFont="1" applyFill="1" applyBorder="1"/>
    <xf numFmtId="164" fontId="6" fillId="0" borderId="8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64" fontId="6" fillId="5" borderId="49" xfId="0" applyNumberFormat="1" applyFont="1" applyFill="1" applyBorder="1" applyAlignment="1">
      <alignment horizontal="center" vertical="center"/>
    </xf>
    <xf numFmtId="164" fontId="6" fillId="5" borderId="8" xfId="0" applyNumberFormat="1" applyFont="1" applyFill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0" fillId="5" borderId="5" xfId="0" applyFill="1" applyBorder="1" applyAlignment="1">
      <alignment vertical="center"/>
    </xf>
    <xf numFmtId="0" fontId="0" fillId="5" borderId="6" xfId="0" applyFill="1" applyBorder="1"/>
    <xf numFmtId="0" fontId="0" fillId="5" borderId="7" xfId="0" applyFill="1" applyBorder="1"/>
    <xf numFmtId="0" fontId="0" fillId="0" borderId="51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5" borderId="36" xfId="0" applyFill="1" applyBorder="1" applyAlignment="1">
      <alignment vertical="center"/>
    </xf>
    <xf numFmtId="0" fontId="0" fillId="5" borderId="25" xfId="0" applyFill="1" applyBorder="1" applyAlignment="1">
      <alignment vertical="center"/>
    </xf>
    <xf numFmtId="0" fontId="0" fillId="5" borderId="52" xfId="0" applyFill="1" applyBorder="1" applyAlignment="1">
      <alignment vertical="center"/>
    </xf>
    <xf numFmtId="164" fontId="0" fillId="0" borderId="51" xfId="0" applyNumberFormat="1" applyBorder="1"/>
    <xf numFmtId="164" fontId="0" fillId="0" borderId="36" xfId="0" applyNumberFormat="1" applyBorder="1"/>
    <xf numFmtId="164" fontId="0" fillId="5" borderId="36" xfId="0" applyNumberFormat="1" applyFill="1" applyBorder="1"/>
    <xf numFmtId="164" fontId="0" fillId="5" borderId="25" xfId="0" applyNumberFormat="1" applyFill="1" applyBorder="1"/>
    <xf numFmtId="164" fontId="0" fillId="5" borderId="52" xfId="0" applyNumberFormat="1" applyFill="1" applyBorder="1"/>
    <xf numFmtId="164" fontId="6" fillId="5" borderId="1" xfId="0" applyNumberFormat="1" applyFont="1" applyFill="1" applyBorder="1" applyAlignment="1">
      <alignment horizontal="center" vertical="center"/>
    </xf>
    <xf numFmtId="0" fontId="1" fillId="0" borderId="8" xfId="0" applyFont="1" applyBorder="1"/>
    <xf numFmtId="164" fontId="1" fillId="0" borderId="8" xfId="0" applyNumberFormat="1" applyFont="1" applyBorder="1"/>
    <xf numFmtId="0" fontId="1" fillId="5" borderId="8" xfId="0" applyFont="1" applyFill="1" applyBorder="1"/>
    <xf numFmtId="164" fontId="1" fillId="5" borderId="8" xfId="0" applyNumberFormat="1" applyFont="1" applyFill="1" applyBorder="1"/>
    <xf numFmtId="0" fontId="0" fillId="5" borderId="8" xfId="0" applyFill="1" applyBorder="1"/>
    <xf numFmtId="0" fontId="1" fillId="9" borderId="1" xfId="0" applyFont="1" applyFill="1" applyBorder="1" applyAlignment="1">
      <alignment horizontal="center" vertical="center"/>
    </xf>
    <xf numFmtId="3" fontId="1" fillId="9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 applyAlignment="1">
      <alignment horizontal="center"/>
    </xf>
    <xf numFmtId="167" fontId="1" fillId="0" borderId="5" xfId="0" applyNumberFormat="1" applyFont="1" applyBorder="1" applyAlignment="1">
      <alignment horizontal="center"/>
    </xf>
    <xf numFmtId="167" fontId="0" fillId="4" borderId="8" xfId="0" applyNumberFormat="1" applyFill="1" applyBorder="1" applyAlignment="1">
      <alignment horizontal="center" vertical="center"/>
    </xf>
    <xf numFmtId="167" fontId="0" fillId="0" borderId="19" xfId="0" applyNumberFormat="1" applyBorder="1" applyAlignment="1">
      <alignment horizontal="center"/>
    </xf>
    <xf numFmtId="167" fontId="0" fillId="4" borderId="8" xfId="0" applyNumberFormat="1" applyFill="1" applyBorder="1" applyAlignment="1">
      <alignment horizontal="center"/>
    </xf>
    <xf numFmtId="167" fontId="1" fillId="4" borderId="8" xfId="0" applyNumberFormat="1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 vertical="center"/>
    </xf>
    <xf numFmtId="2" fontId="0" fillId="0" borderId="0" xfId="0" applyNumberFormat="1"/>
    <xf numFmtId="2" fontId="6" fillId="0" borderId="51" xfId="0" applyNumberFormat="1" applyFont="1" applyBorder="1" applyAlignment="1">
      <alignment horizontal="center" vertical="center"/>
    </xf>
    <xf numFmtId="2" fontId="6" fillId="0" borderId="52" xfId="0" applyNumberFormat="1" applyFont="1" applyBorder="1" applyAlignment="1">
      <alignment horizontal="center" vertical="center"/>
    </xf>
    <xf numFmtId="2" fontId="6" fillId="5" borderId="51" xfId="0" applyNumberFormat="1" applyFont="1" applyFill="1" applyBorder="1" applyAlignment="1">
      <alignment horizontal="center" vertical="center"/>
    </xf>
    <xf numFmtId="2" fontId="6" fillId="5" borderId="52" xfId="0" applyNumberFormat="1" applyFont="1" applyFill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5" borderId="49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center" vertical="center"/>
    </xf>
    <xf numFmtId="2" fontId="1" fillId="5" borderId="8" xfId="0" applyNumberFormat="1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0" fillId="0" borderId="49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2" fontId="1" fillId="0" borderId="8" xfId="0" applyNumberFormat="1" applyFont="1" applyBorder="1"/>
    <xf numFmtId="2" fontId="0" fillId="0" borderId="8" xfId="0" applyNumberFormat="1" applyBorder="1"/>
    <xf numFmtId="2" fontId="0" fillId="5" borderId="8" xfId="0" applyNumberFormat="1" applyFill="1" applyBorder="1"/>
    <xf numFmtId="2" fontId="1" fillId="0" borderId="51" xfId="0" applyNumberFormat="1" applyFont="1" applyBorder="1"/>
    <xf numFmtId="2" fontId="1" fillId="0" borderId="36" xfId="0" applyNumberFormat="1" applyFont="1" applyBorder="1"/>
    <xf numFmtId="2" fontId="1" fillId="5" borderId="36" xfId="0" applyNumberFormat="1" applyFont="1" applyFill="1" applyBorder="1"/>
    <xf numFmtId="2" fontId="1" fillId="5" borderId="25" xfId="0" applyNumberFormat="1" applyFont="1" applyFill="1" applyBorder="1"/>
    <xf numFmtId="2" fontId="1" fillId="5" borderId="52" xfId="0" applyNumberFormat="1" applyFont="1" applyFill="1" applyBorder="1"/>
    <xf numFmtId="2" fontId="0" fillId="0" borderId="1" xfId="0" applyNumberFormat="1" applyBorder="1" applyAlignment="1">
      <alignment vertical="center"/>
    </xf>
    <xf numFmtId="2" fontId="0" fillId="5" borderId="1" xfId="0" applyNumberFormat="1" applyFill="1" applyBorder="1" applyAlignment="1">
      <alignment vertical="center"/>
    </xf>
    <xf numFmtId="2" fontId="0" fillId="0" borderId="51" xfId="0" applyNumberFormat="1" applyBorder="1" applyAlignment="1">
      <alignment vertical="center"/>
    </xf>
    <xf numFmtId="2" fontId="0" fillId="0" borderId="36" xfId="0" applyNumberFormat="1" applyBorder="1" applyAlignment="1">
      <alignment vertical="center"/>
    </xf>
    <xf numFmtId="2" fontId="0" fillId="5" borderId="36" xfId="0" applyNumberFormat="1" applyFill="1" applyBorder="1" applyAlignment="1">
      <alignment vertical="center"/>
    </xf>
    <xf numFmtId="2" fontId="0" fillId="5" borderId="25" xfId="0" applyNumberFormat="1" applyFill="1" applyBorder="1" applyAlignment="1">
      <alignment vertical="center"/>
    </xf>
    <xf numFmtId="2" fontId="0" fillId="5" borderId="52" xfId="0" applyNumberFormat="1" applyFill="1" applyBorder="1" applyAlignment="1">
      <alignment vertical="center"/>
    </xf>
    <xf numFmtId="2" fontId="0" fillId="0" borderId="51" xfId="0" applyNumberFormat="1" applyBorder="1"/>
    <xf numFmtId="2" fontId="0" fillId="0" borderId="36" xfId="0" applyNumberFormat="1" applyBorder="1"/>
    <xf numFmtId="2" fontId="0" fillId="5" borderId="36" xfId="0" applyNumberFormat="1" applyFill="1" applyBorder="1"/>
    <xf numFmtId="2" fontId="0" fillId="5" borderId="25" xfId="0" applyNumberFormat="1" applyFill="1" applyBorder="1"/>
    <xf numFmtId="2" fontId="0" fillId="5" borderId="52" xfId="0" applyNumberFormat="1" applyFill="1" applyBorder="1"/>
    <xf numFmtId="1" fontId="0" fillId="0" borderId="53" xfId="0" applyNumberFormat="1" applyBorder="1" applyAlignment="1">
      <alignment horizontal="center" vertical="center"/>
    </xf>
    <xf numFmtId="1" fontId="0" fillId="0" borderId="55" xfId="0" applyNumberFormat="1" applyBorder="1" applyAlignment="1">
      <alignment horizontal="center" vertical="center"/>
    </xf>
    <xf numFmtId="1" fontId="0" fillId="0" borderId="59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167" fontId="21" fillId="0" borderId="0" xfId="0" applyNumberFormat="1" applyFont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0" fillId="5" borderId="8" xfId="0" applyFill="1" applyBorder="1" applyAlignment="1">
      <alignment horizontal="center" vertical="center"/>
    </xf>
    <xf numFmtId="0" fontId="0" fillId="6" borderId="76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5" fillId="3" borderId="3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2" fontId="1" fillId="5" borderId="1" xfId="0" applyNumberFormat="1" applyFont="1" applyFill="1" applyBorder="1"/>
    <xf numFmtId="0" fontId="5" fillId="0" borderId="79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5" borderId="67" xfId="0" applyFill="1" applyBorder="1" applyAlignment="1">
      <alignment horizontal="center"/>
    </xf>
    <xf numFmtId="0" fontId="0" fillId="5" borderId="66" xfId="0" applyFill="1" applyBorder="1" applyAlignment="1">
      <alignment horizontal="center" vertical="center"/>
    </xf>
    <xf numFmtId="49" fontId="0" fillId="0" borderId="61" xfId="0" applyNumberFormat="1" applyBorder="1" applyAlignment="1">
      <alignment horizontal="center"/>
    </xf>
    <xf numFmtId="49" fontId="0" fillId="0" borderId="60" xfId="0" applyNumberFormat="1" applyBorder="1" applyAlignment="1">
      <alignment horizontal="center"/>
    </xf>
    <xf numFmtId="49" fontId="0" fillId="0" borderId="59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5" borderId="80" xfId="0" applyFill="1" applyBorder="1" applyAlignment="1">
      <alignment horizontal="center"/>
    </xf>
    <xf numFmtId="0" fontId="0" fillId="5" borderId="81" xfId="0" applyFill="1" applyBorder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49" fontId="0" fillId="0" borderId="62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0" fillId="0" borderId="5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0" fontId="0" fillId="5" borderId="80" xfId="0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49" fontId="0" fillId="5" borderId="61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0" fillId="5" borderId="53" xfId="0" applyNumberFormat="1" applyFill="1" applyBorder="1" applyAlignment="1">
      <alignment horizontal="center"/>
    </xf>
    <xf numFmtId="49" fontId="0" fillId="5" borderId="44" xfId="0" applyNumberFormat="1" applyFill="1" applyBorder="1" applyAlignment="1">
      <alignment horizontal="center"/>
    </xf>
    <xf numFmtId="49" fontId="0" fillId="5" borderId="10" xfId="0" applyNumberFormat="1" applyFill="1" applyBorder="1" applyAlignment="1">
      <alignment horizontal="center"/>
    </xf>
    <xf numFmtId="49" fontId="0" fillId="5" borderId="60" xfId="0" applyNumberFormat="1" applyFill="1" applyBorder="1" applyAlignment="1">
      <alignment horizontal="center"/>
    </xf>
    <xf numFmtId="49" fontId="0" fillId="5" borderId="59" xfId="0" applyNumberFormat="1" applyFill="1" applyBorder="1" applyAlignment="1">
      <alignment horizontal="center"/>
    </xf>
    <xf numFmtId="49" fontId="0" fillId="5" borderId="62" xfId="0" applyNumberFormat="1" applyFill="1" applyBorder="1" applyAlignment="1">
      <alignment horizontal="center"/>
    </xf>
    <xf numFmtId="49" fontId="0" fillId="5" borderId="46" xfId="0" applyNumberFormat="1" applyFill="1" applyBorder="1" applyAlignment="1">
      <alignment horizontal="center"/>
    </xf>
    <xf numFmtId="49" fontId="0" fillId="5" borderId="47" xfId="0" applyNumberFormat="1" applyFill="1" applyBorder="1" applyAlignment="1">
      <alignment horizontal="center"/>
    </xf>
    <xf numFmtId="0" fontId="0" fillId="5" borderId="60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9" fontId="0" fillId="0" borderId="1" xfId="0" applyNumberFormat="1" applyBorder="1"/>
    <xf numFmtId="49" fontId="0" fillId="0" borderId="36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36" xfId="0" applyNumberFormat="1" applyBorder="1"/>
    <xf numFmtId="49" fontId="0" fillId="0" borderId="25" xfId="0" applyNumberFormat="1" applyBorder="1"/>
    <xf numFmtId="49" fontId="0" fillId="0" borderId="52" xfId="0" applyNumberFormat="1" applyBorder="1" applyAlignment="1">
      <alignment horizontal="center" vertical="center"/>
    </xf>
    <xf numFmtId="49" fontId="0" fillId="0" borderId="52" xfId="0" applyNumberFormat="1" applyBorder="1"/>
    <xf numFmtId="165" fontId="0" fillId="0" borderId="1" xfId="0" applyNumberFormat="1" applyBorder="1" applyAlignment="1">
      <alignment vertic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8" xfId="0" applyNumberFormat="1" applyFont="1" applyFill="1" applyBorder="1"/>
    <xf numFmtId="0" fontId="6" fillId="5" borderId="1" xfId="0" applyFont="1" applyFill="1" applyBorder="1"/>
    <xf numFmtId="164" fontId="6" fillId="5" borderId="1" xfId="0" applyNumberFormat="1" applyFont="1" applyFill="1" applyBorder="1"/>
    <xf numFmtId="0" fontId="1" fillId="0" borderId="8" xfId="0" applyFont="1" applyBorder="1" applyAlignment="1">
      <alignment horizontal="center"/>
    </xf>
    <xf numFmtId="167" fontId="0" fillId="5" borderId="8" xfId="0" applyNumberForma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5" fillId="0" borderId="8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vertical="center"/>
    </xf>
    <xf numFmtId="0" fontId="26" fillId="0" borderId="11" xfId="0" applyFont="1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center"/>
    </xf>
    <xf numFmtId="170" fontId="0" fillId="0" borderId="0" xfId="0" applyNumberFormat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left" vertical="center"/>
    </xf>
    <xf numFmtId="164" fontId="12" fillId="3" borderId="8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9" fontId="0" fillId="0" borderId="0" xfId="0" applyNumberFormat="1" applyAlignment="1">
      <alignment horizontal="center" vertical="center"/>
    </xf>
    <xf numFmtId="0" fontId="1" fillId="10" borderId="39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0" fillId="0" borderId="83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80" xfId="0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83" xfId="0" applyBorder="1" applyAlignment="1">
      <alignment horizontal="center"/>
    </xf>
    <xf numFmtId="2" fontId="0" fillId="0" borderId="30" xfId="0" applyNumberFormat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49" fontId="1" fillId="0" borderId="64" xfId="0" applyNumberFormat="1" applyFon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8" fontId="0" fillId="10" borderId="8" xfId="0" applyNumberForma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13" borderId="8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/>
    </xf>
    <xf numFmtId="0" fontId="1" fillId="14" borderId="8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/>
    </xf>
    <xf numFmtId="1" fontId="1" fillId="15" borderId="8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164" fontId="30" fillId="3" borderId="84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30" fillId="3" borderId="15" xfId="0" applyFont="1" applyFill="1" applyBorder="1" applyAlignment="1">
      <alignment horizontal="center" vertical="center"/>
    </xf>
    <xf numFmtId="172" fontId="30" fillId="3" borderId="84" xfId="0" applyNumberFormat="1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0" fillId="0" borderId="5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3" fontId="0" fillId="0" borderId="72" xfId="0" applyNumberFormat="1" applyBorder="1" applyAlignment="1">
      <alignment horizontal="center" vertical="center"/>
    </xf>
    <xf numFmtId="3" fontId="0" fillId="0" borderId="83" xfId="0" applyNumberFormat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1" fillId="6" borderId="36" xfId="0" applyNumberFormat="1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164" fontId="1" fillId="13" borderId="52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166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0" fontId="12" fillId="0" borderId="37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3" fillId="0" borderId="8" xfId="0" applyFont="1" applyBorder="1" applyAlignment="1">
      <alignment horizontal="center" vertical="center"/>
    </xf>
    <xf numFmtId="0" fontId="10" fillId="17" borderId="5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1" fontId="1" fillId="3" borderId="8" xfId="0" applyNumberFormat="1" applyFont="1" applyFill="1" applyBorder="1" applyAlignment="1" applyProtection="1">
      <alignment horizontal="center" vertical="center"/>
      <protection locked="0"/>
    </xf>
    <xf numFmtId="166" fontId="1" fillId="3" borderId="8" xfId="0" applyNumberFormat="1" applyFont="1" applyFill="1" applyBorder="1" applyAlignment="1" applyProtection="1">
      <alignment horizontal="center" vertical="center"/>
      <protection locked="0"/>
    </xf>
    <xf numFmtId="1" fontId="9" fillId="3" borderId="8" xfId="0" applyNumberFormat="1" applyFont="1" applyFill="1" applyBorder="1" applyAlignment="1" applyProtection="1">
      <alignment horizontal="center" vertical="center"/>
      <protection locked="0"/>
    </xf>
    <xf numFmtId="1" fontId="19" fillId="3" borderId="20" xfId="0" applyNumberFormat="1" applyFont="1" applyFill="1" applyBorder="1" applyAlignment="1" applyProtection="1">
      <alignment horizontal="center" vertical="center"/>
      <protection locked="0"/>
    </xf>
    <xf numFmtId="1" fontId="15" fillId="3" borderId="3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0" fillId="18" borderId="49" xfId="0" applyFont="1" applyFill="1" applyBorder="1" applyAlignment="1">
      <alignment vertical="center"/>
    </xf>
    <xf numFmtId="0" fontId="0" fillId="18" borderId="27" xfId="0" applyFill="1" applyBorder="1" applyAlignment="1">
      <alignment vertical="center"/>
    </xf>
    <xf numFmtId="0" fontId="6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4" borderId="30" xfId="0" applyFont="1" applyFill="1" applyBorder="1" applyAlignment="1" applyProtection="1">
      <alignment horizontal="center" vertical="center"/>
      <protection locked="0"/>
    </xf>
    <xf numFmtId="0" fontId="19" fillId="4" borderId="87" xfId="0" applyFont="1" applyFill="1" applyBorder="1" applyAlignment="1" applyProtection="1">
      <alignment horizontal="center" vertical="center"/>
      <protection locked="0"/>
    </xf>
    <xf numFmtId="0" fontId="19" fillId="4" borderId="8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4" fontId="14" fillId="0" borderId="88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7" fillId="21" borderId="8" xfId="0" applyFont="1" applyFill="1" applyBorder="1" applyAlignment="1" applyProtection="1">
      <alignment horizontal="center" vertical="center"/>
      <protection locked="0"/>
    </xf>
    <xf numFmtId="0" fontId="38" fillId="0" borderId="99" xfId="0" applyFont="1" applyBorder="1" applyAlignment="1">
      <alignment horizontal="center" vertical="center"/>
    </xf>
    <xf numFmtId="0" fontId="39" fillId="0" borderId="100" xfId="0" applyFont="1" applyBorder="1" applyAlignment="1">
      <alignment horizontal="center" vertical="center"/>
    </xf>
    <xf numFmtId="0" fontId="38" fillId="25" borderId="101" xfId="0" applyFont="1" applyFill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39" fillId="0" borderId="102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25" borderId="60" xfId="0" applyFont="1" applyFill="1" applyBorder="1" applyAlignment="1">
      <alignment horizontal="center" vertical="center"/>
    </xf>
    <xf numFmtId="0" fontId="37" fillId="0" borderId="103" xfId="0" applyFont="1" applyBorder="1" applyAlignment="1">
      <alignment horizontal="center" vertical="center"/>
    </xf>
    <xf numFmtId="1" fontId="37" fillId="0" borderId="104" xfId="0" applyNumberFormat="1" applyFont="1" applyBorder="1" applyAlignment="1">
      <alignment horizontal="center" vertical="center"/>
    </xf>
    <xf numFmtId="1" fontId="37" fillId="0" borderId="105" xfId="0" applyNumberFormat="1" applyFont="1" applyBorder="1" applyAlignment="1">
      <alignment horizontal="center" vertical="center"/>
    </xf>
    <xf numFmtId="1" fontId="37" fillId="23" borderId="8" xfId="0" applyNumberFormat="1" applyFont="1" applyFill="1" applyBorder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39" fillId="0" borderId="106" xfId="0" applyFont="1" applyBorder="1" applyAlignment="1">
      <alignment horizontal="center" vertical="center"/>
    </xf>
    <xf numFmtId="0" fontId="39" fillId="0" borderId="107" xfId="0" applyFont="1" applyBorder="1" applyAlignment="1">
      <alignment horizontal="center" vertical="center"/>
    </xf>
    <xf numFmtId="0" fontId="39" fillId="25" borderId="108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25" borderId="44" xfId="0" applyFont="1" applyFill="1" applyBorder="1" applyAlignment="1">
      <alignment horizontal="center" vertical="center"/>
    </xf>
    <xf numFmtId="0" fontId="37" fillId="0" borderId="100" xfId="0" applyFont="1" applyBorder="1" applyAlignment="1">
      <alignment horizontal="center" vertical="center"/>
    </xf>
    <xf numFmtId="1" fontId="37" fillId="0" borderId="109" xfId="0" applyNumberFormat="1" applyFont="1" applyBorder="1" applyAlignment="1">
      <alignment horizontal="center" vertical="center"/>
    </xf>
    <xf numFmtId="1" fontId="37" fillId="0" borderId="101" xfId="0" applyNumberFormat="1" applyFont="1" applyBorder="1" applyAlignment="1">
      <alignment horizontal="center" vertical="center"/>
    </xf>
    <xf numFmtId="0" fontId="37" fillId="23" borderId="8" xfId="0" applyFont="1" applyFill="1" applyBorder="1" applyAlignment="1">
      <alignment horizontal="center" vertical="center"/>
    </xf>
    <xf numFmtId="0" fontId="39" fillId="0" borderId="99" xfId="0" applyFont="1" applyBorder="1" applyAlignment="1">
      <alignment horizontal="center" vertical="center"/>
    </xf>
    <xf numFmtId="0" fontId="39" fillId="25" borderId="101" xfId="0" applyFont="1" applyFill="1" applyBorder="1" applyAlignment="1">
      <alignment horizontal="center" vertical="center"/>
    </xf>
    <xf numFmtId="0" fontId="37" fillId="0" borderId="77" xfId="0" applyFont="1" applyBorder="1" applyAlignment="1">
      <alignment horizontal="center" vertical="center"/>
    </xf>
    <xf numFmtId="0" fontId="37" fillId="0" borderId="0" xfId="0" applyFont="1" applyAlignment="1" applyProtection="1">
      <alignment horizontal="center" vertical="center"/>
      <protection locked="0"/>
    </xf>
    <xf numFmtId="0" fontId="39" fillId="21" borderId="8" xfId="0" applyFont="1" applyFill="1" applyBorder="1" applyAlignment="1" applyProtection="1">
      <alignment horizontal="center" vertical="center"/>
      <protection locked="0"/>
    </xf>
    <xf numFmtId="1" fontId="37" fillId="0" borderId="77" xfId="0" applyNumberFormat="1" applyFont="1" applyBorder="1" applyAlignment="1">
      <alignment horizontal="center" vertical="center"/>
    </xf>
    <xf numFmtId="0" fontId="39" fillId="25" borderId="110" xfId="0" applyFont="1" applyFill="1" applyBorder="1" applyAlignment="1">
      <alignment horizontal="center" vertical="center"/>
    </xf>
    <xf numFmtId="0" fontId="39" fillId="0" borderId="111" xfId="0" applyFont="1" applyBorder="1" applyAlignment="1">
      <alignment horizontal="center" vertical="center"/>
    </xf>
    <xf numFmtId="1" fontId="37" fillId="0" borderId="112" xfId="0" applyNumberFormat="1" applyFont="1" applyBorder="1" applyAlignment="1">
      <alignment horizontal="right" vertical="center"/>
    </xf>
    <xf numFmtId="0" fontId="37" fillId="0" borderId="113" xfId="0" applyFont="1" applyBorder="1" applyAlignment="1">
      <alignment horizontal="left" vertical="center"/>
    </xf>
    <xf numFmtId="0" fontId="39" fillId="25" borderId="63" xfId="0" applyFont="1" applyFill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1" fontId="37" fillId="0" borderId="115" xfId="0" applyNumberFormat="1" applyFont="1" applyBorder="1" applyAlignment="1">
      <alignment horizontal="center" vertical="center"/>
    </xf>
    <xf numFmtId="0" fontId="39" fillId="25" borderId="116" xfId="0" applyFont="1" applyFill="1" applyBorder="1" applyAlignment="1">
      <alignment horizontal="center" vertical="center"/>
    </xf>
    <xf numFmtId="0" fontId="39" fillId="0" borderId="117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39" fillId="25" borderId="118" xfId="0" applyFont="1" applyFill="1" applyBorder="1" applyAlignment="1">
      <alignment horizontal="center" vertical="center"/>
    </xf>
    <xf numFmtId="0" fontId="39" fillId="0" borderId="119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39" fillId="25" borderId="3" xfId="0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7" fillId="0" borderId="104" xfId="0" applyFont="1" applyBorder="1" applyAlignment="1">
      <alignment horizontal="center" vertical="center"/>
    </xf>
    <xf numFmtId="0" fontId="37" fillId="21" borderId="104" xfId="0" applyFont="1" applyFill="1" applyBorder="1" applyAlignment="1" applyProtection="1">
      <alignment horizontal="center" vertical="center"/>
      <protection locked="0"/>
    </xf>
    <xf numFmtId="0" fontId="37" fillId="23" borderId="104" xfId="0" applyFont="1" applyFill="1" applyBorder="1" applyAlignment="1">
      <alignment horizontal="center" vertical="center"/>
    </xf>
    <xf numFmtId="0" fontId="40" fillId="23" borderId="104" xfId="0" applyFont="1" applyFill="1" applyBorder="1" applyAlignment="1">
      <alignment horizontal="center" vertical="center"/>
    </xf>
    <xf numFmtId="0" fontId="40" fillId="23" borderId="120" xfId="0" applyFont="1" applyFill="1" applyBorder="1" applyAlignment="1">
      <alignment horizontal="center" vertical="center"/>
    </xf>
    <xf numFmtId="0" fontId="37" fillId="0" borderId="120" xfId="0" applyFont="1" applyBorder="1" applyAlignment="1">
      <alignment horizontal="center" vertical="center"/>
    </xf>
    <xf numFmtId="1" fontId="38" fillId="27" borderId="8" xfId="0" applyNumberFormat="1" applyFont="1" applyFill="1" applyBorder="1" applyAlignment="1">
      <alignment horizontal="center"/>
    </xf>
    <xf numFmtId="0" fontId="0" fillId="0" borderId="121" xfId="0" applyBorder="1" applyAlignment="1">
      <alignment horizontal="center"/>
    </xf>
    <xf numFmtId="1" fontId="38" fillId="27" borderId="8" xfId="0" applyNumberFormat="1" applyFont="1" applyFill="1" applyBorder="1" applyAlignment="1">
      <alignment horizontal="center" vertical="center"/>
    </xf>
    <xf numFmtId="0" fontId="0" fillId="0" borderId="110" xfId="0" applyBorder="1"/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horizontal="center"/>
    </xf>
    <xf numFmtId="0" fontId="41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center" wrapText="1"/>
    </xf>
    <xf numFmtId="0" fontId="41" fillId="0" borderId="0" xfId="0" applyFont="1" applyAlignment="1">
      <alignment vertical="top" wrapText="1"/>
    </xf>
    <xf numFmtId="0" fontId="41" fillId="0" borderId="0" xfId="0" applyFont="1" applyAlignment="1">
      <alignment wrapText="1"/>
    </xf>
    <xf numFmtId="0" fontId="37" fillId="0" borderId="0" xfId="0" applyFont="1" applyAlignment="1">
      <alignment horizontal="right" vertical="top"/>
    </xf>
    <xf numFmtId="0" fontId="37" fillId="0" borderId="0" xfId="0" applyFont="1" applyAlignment="1">
      <alignment horizontal="center" vertical="top"/>
    </xf>
    <xf numFmtId="0" fontId="38" fillId="0" borderId="111" xfId="0" applyFont="1" applyBorder="1" applyAlignment="1">
      <alignment horizontal="right" vertical="center"/>
    </xf>
    <xf numFmtId="0" fontId="38" fillId="0" borderId="122" xfId="0" applyFont="1" applyBorder="1" applyAlignment="1">
      <alignment horizontal="right" vertical="center"/>
    </xf>
    <xf numFmtId="0" fontId="38" fillId="0" borderId="110" xfId="0" applyFont="1" applyBorder="1" applyAlignment="1">
      <alignment horizontal="right" vertic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7" fillId="0" borderId="104" xfId="0" applyFont="1" applyBorder="1" applyAlignment="1">
      <alignment horizontal="center" vertical="center"/>
    </xf>
    <xf numFmtId="0" fontId="40" fillId="0" borderId="104" xfId="0" applyFont="1" applyBorder="1" applyAlignment="1">
      <alignment horizontal="center" vertical="center"/>
    </xf>
    <xf numFmtId="0" fontId="40" fillId="0" borderId="120" xfId="0" applyFont="1" applyBorder="1" applyAlignment="1">
      <alignment horizontal="center" vertical="center"/>
    </xf>
    <xf numFmtId="0" fontId="38" fillId="27" borderId="65" xfId="0" applyFont="1" applyFill="1" applyBorder="1" applyAlignment="1">
      <alignment horizontal="center" vertical="center"/>
    </xf>
    <xf numFmtId="0" fontId="38" fillId="27" borderId="32" xfId="0" applyFont="1" applyFill="1" applyBorder="1" applyAlignment="1">
      <alignment horizontal="center" vertical="center"/>
    </xf>
    <xf numFmtId="0" fontId="38" fillId="27" borderId="29" xfId="0" applyFont="1" applyFill="1" applyBorder="1" applyAlignment="1">
      <alignment horizontal="center" vertical="center"/>
    </xf>
    <xf numFmtId="0" fontId="38" fillId="0" borderId="28" xfId="0" applyFont="1" applyBorder="1" applyAlignment="1">
      <alignment horizontal="right" vertical="center"/>
    </xf>
    <xf numFmtId="0" fontId="38" fillId="0" borderId="35" xfId="0" applyFont="1" applyBorder="1" applyAlignment="1">
      <alignment horizontal="right" vertical="center"/>
    </xf>
    <xf numFmtId="0" fontId="38" fillId="0" borderId="29" xfId="0" applyFont="1" applyBorder="1" applyAlignment="1">
      <alignment horizontal="right" vertical="center"/>
    </xf>
    <xf numFmtId="0" fontId="0" fillId="0" borderId="112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38" fillId="26" borderId="49" xfId="0" applyFont="1" applyFill="1" applyBorder="1" applyAlignment="1">
      <alignment horizontal="center" vertical="center"/>
    </xf>
    <xf numFmtId="0" fontId="38" fillId="26" borderId="50" xfId="0" applyFont="1" applyFill="1" applyBorder="1" applyAlignment="1">
      <alignment horizontal="center" vertical="center"/>
    </xf>
    <xf numFmtId="0" fontId="38" fillId="26" borderId="27" xfId="0" applyFont="1" applyFill="1" applyBorder="1" applyAlignment="1">
      <alignment horizontal="center" vertical="center"/>
    </xf>
    <xf numFmtId="0" fontId="39" fillId="22" borderId="53" xfId="0" applyFont="1" applyFill="1" applyBorder="1" applyAlignment="1">
      <alignment horizontal="center" vertical="center"/>
    </xf>
    <xf numFmtId="0" fontId="39" fillId="22" borderId="44" xfId="0" applyFont="1" applyFill="1" applyBorder="1" applyAlignment="1">
      <alignment horizontal="center" vertical="center"/>
    </xf>
    <xf numFmtId="0" fontId="39" fillId="23" borderId="53" xfId="0" applyFont="1" applyFill="1" applyBorder="1" applyAlignment="1">
      <alignment horizontal="center" vertical="center"/>
    </xf>
    <xf numFmtId="0" fontId="39" fillId="23" borderId="44" xfId="0" applyFont="1" applyFill="1" applyBorder="1" applyAlignment="1">
      <alignment horizontal="center" vertical="center"/>
    </xf>
    <xf numFmtId="0" fontId="39" fillId="24" borderId="53" xfId="0" applyFont="1" applyFill="1" applyBorder="1" applyAlignment="1">
      <alignment horizontal="center" vertical="center"/>
    </xf>
    <xf numFmtId="0" fontId="39" fillId="24" borderId="4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0" borderId="81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1" xfId="0" applyFont="1" applyBorder="1" applyAlignment="1">
      <alignment horizontal="center" vertical="center"/>
    </xf>
    <xf numFmtId="0" fontId="37" fillId="21" borderId="49" xfId="0" applyFont="1" applyFill="1" applyBorder="1" applyAlignment="1">
      <alignment horizontal="center" vertical="center"/>
    </xf>
    <xf numFmtId="0" fontId="37" fillId="21" borderId="50" xfId="0" applyFont="1" applyFill="1" applyBorder="1" applyAlignment="1">
      <alignment horizontal="center" vertical="center"/>
    </xf>
    <xf numFmtId="0" fontId="37" fillId="21" borderId="27" xfId="0" applyFont="1" applyFill="1" applyBorder="1" applyAlignment="1">
      <alignment horizontal="center" vertical="center"/>
    </xf>
    <xf numFmtId="0" fontId="37" fillId="0" borderId="66" xfId="0" applyFont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6" borderId="49" xfId="0" applyFont="1" applyFill="1" applyBorder="1" applyAlignment="1">
      <alignment horizontal="center" vertical="center"/>
    </xf>
    <xf numFmtId="0" fontId="1" fillId="6" borderId="50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6" borderId="49" xfId="0" applyFont="1" applyFill="1" applyBorder="1" applyAlignment="1">
      <alignment horizontal="center"/>
    </xf>
    <xf numFmtId="0" fontId="1" fillId="6" borderId="50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6" borderId="53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9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9" xfId="0" applyBorder="1" applyAlignment="1">
      <alignment horizontal="center"/>
    </xf>
    <xf numFmtId="1" fontId="1" fillId="3" borderId="83" xfId="0" applyNumberFormat="1" applyFont="1" applyFill="1" applyBorder="1" applyAlignment="1">
      <alignment horizontal="center" vertical="center"/>
    </xf>
    <xf numFmtId="1" fontId="1" fillId="3" borderId="86" xfId="0" applyNumberFormat="1" applyFont="1" applyFill="1" applyBorder="1" applyAlignment="1">
      <alignment horizontal="center" vertical="center"/>
    </xf>
    <xf numFmtId="0" fontId="2" fillId="2" borderId="92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9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3" borderId="33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86" xfId="0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67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16" borderId="49" xfId="0" applyFont="1" applyFill="1" applyBorder="1" applyAlignment="1">
      <alignment horizontal="center" vertical="center"/>
    </xf>
    <xf numFmtId="0" fontId="1" fillId="16" borderId="27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8" fontId="14" fillId="3" borderId="83" xfId="0" applyNumberFormat="1" applyFont="1" applyFill="1" applyBorder="1" applyAlignment="1">
      <alignment horizontal="center" vertical="center"/>
    </xf>
    <xf numFmtId="168" fontId="14" fillId="3" borderId="86" xfId="0" applyNumberFormat="1" applyFont="1" applyFill="1" applyBorder="1" applyAlignment="1">
      <alignment horizontal="center" vertical="center"/>
    </xf>
    <xf numFmtId="164" fontId="1" fillId="5" borderId="49" xfId="0" applyNumberFormat="1" applyFont="1" applyFill="1" applyBorder="1" applyAlignment="1">
      <alignment horizontal="center" vertical="center"/>
    </xf>
    <xf numFmtId="164" fontId="1" fillId="5" borderId="50" xfId="0" applyNumberFormat="1" applyFont="1" applyFill="1" applyBorder="1" applyAlignment="1">
      <alignment horizontal="center" vertical="center"/>
    </xf>
    <xf numFmtId="0" fontId="1" fillId="5" borderId="83" xfId="0" applyFont="1" applyFill="1" applyBorder="1" applyAlignment="1">
      <alignment horizontal="center" vertical="center"/>
    </xf>
    <xf numFmtId="0" fontId="1" fillId="5" borderId="8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6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172" fontId="25" fillId="0" borderId="2" xfId="0" applyNumberFormat="1" applyFont="1" applyBorder="1" applyAlignment="1">
      <alignment horizontal="center" vertical="center"/>
    </xf>
    <xf numFmtId="172" fontId="25" fillId="0" borderId="0" xfId="0" applyNumberFormat="1" applyFont="1" applyAlignment="1">
      <alignment horizontal="center" vertical="center"/>
    </xf>
    <xf numFmtId="0" fontId="7" fillId="3" borderId="82" xfId="0" applyFont="1" applyFill="1" applyBorder="1" applyAlignment="1" applyProtection="1">
      <alignment horizontal="center" vertical="center"/>
      <protection locked="0"/>
    </xf>
    <xf numFmtId="0" fontId="7" fillId="3" borderId="73" xfId="0" applyFont="1" applyFill="1" applyBorder="1" applyAlignment="1" applyProtection="1">
      <alignment horizontal="center" vertical="center"/>
      <protection locked="0"/>
    </xf>
    <xf numFmtId="0" fontId="7" fillId="3" borderId="89" xfId="0" applyFont="1" applyFill="1" applyBorder="1" applyAlignment="1" applyProtection="1">
      <alignment horizontal="center" vertical="center"/>
      <protection locked="0"/>
    </xf>
    <xf numFmtId="1" fontId="1" fillId="3" borderId="83" xfId="0" applyNumberFormat="1" applyFont="1" applyFill="1" applyBorder="1" applyAlignment="1" applyProtection="1">
      <alignment horizontal="center" vertical="center"/>
      <protection locked="0"/>
    </xf>
    <xf numFmtId="1" fontId="1" fillId="3" borderId="86" xfId="0" applyNumberFormat="1" applyFont="1" applyFill="1" applyBorder="1" applyAlignment="1" applyProtection="1">
      <alignment horizontal="center" vertical="center"/>
      <protection locked="0"/>
    </xf>
    <xf numFmtId="0" fontId="1" fillId="3" borderId="49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0" fontId="7" fillId="3" borderId="82" xfId="0" applyFont="1" applyFill="1" applyBorder="1" applyAlignment="1">
      <alignment horizontal="center" vertical="center"/>
    </xf>
    <xf numFmtId="0" fontId="7" fillId="3" borderId="73" xfId="0" applyFont="1" applyFill="1" applyBorder="1" applyAlignment="1">
      <alignment horizontal="center" vertical="center"/>
    </xf>
    <xf numFmtId="0" fontId="7" fillId="3" borderId="89" xfId="0" applyFont="1" applyFill="1" applyBorder="1" applyAlignment="1">
      <alignment horizontal="center" vertical="center"/>
    </xf>
    <xf numFmtId="0" fontId="31" fillId="0" borderId="76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20" borderId="19" xfId="0" applyFont="1" applyFill="1" applyBorder="1" applyAlignment="1">
      <alignment horizontal="center" vertical="center"/>
    </xf>
    <xf numFmtId="0" fontId="10" fillId="20" borderId="3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164" fontId="14" fillId="0" borderId="50" xfId="0" applyNumberFormat="1" applyFont="1" applyBorder="1" applyAlignment="1">
      <alignment horizontal="center" vertical="center"/>
    </xf>
    <xf numFmtId="164" fontId="32" fillId="0" borderId="19" xfId="0" applyNumberFormat="1" applyFont="1" applyBorder="1" applyAlignment="1">
      <alignment horizontal="center" vertical="center"/>
    </xf>
    <xf numFmtId="164" fontId="32" fillId="0" borderId="39" xfId="0" applyNumberFormat="1" applyFont="1" applyBorder="1" applyAlignment="1">
      <alignment horizontal="center" vertical="center"/>
    </xf>
    <xf numFmtId="0" fontId="14" fillId="19" borderId="19" xfId="0" applyFont="1" applyFill="1" applyBorder="1" applyAlignment="1">
      <alignment horizontal="center" vertical="center"/>
    </xf>
    <xf numFmtId="0" fontId="14" fillId="19" borderId="39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4" fillId="0" borderId="95" xfId="0" applyFont="1" applyBorder="1" applyAlignment="1">
      <alignment horizontal="center" vertical="center"/>
    </xf>
    <xf numFmtId="0" fontId="34" fillId="0" borderId="96" xfId="0" applyFont="1" applyBorder="1" applyAlignment="1">
      <alignment horizontal="center" vertical="center"/>
    </xf>
    <xf numFmtId="0" fontId="35" fillId="0" borderId="96" xfId="0" applyFont="1" applyBorder="1" applyAlignment="1">
      <alignment horizontal="center" vertical="center"/>
    </xf>
    <xf numFmtId="0" fontId="35" fillId="0" borderId="97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164" fontId="14" fillId="19" borderId="19" xfId="0" applyNumberFormat="1" applyFont="1" applyFill="1" applyBorder="1" applyAlignment="1">
      <alignment horizontal="center" vertical="center"/>
    </xf>
    <xf numFmtId="164" fontId="14" fillId="19" borderId="3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47625</xdr:rowOff>
    </xdr:from>
    <xdr:to>
      <xdr:col>1</xdr:col>
      <xdr:colOff>0</xdr:colOff>
      <xdr:row>38</xdr:row>
      <xdr:rowOff>19050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id="{D2C99915-C7D4-4AC3-BDF9-A0DA59E90AED}"/>
            </a:ext>
          </a:extLst>
        </xdr:cNvPr>
        <xdr:cNvCxnSpPr/>
      </xdr:nvCxnSpPr>
      <xdr:spPr>
        <a:xfrm flipV="1">
          <a:off x="714375" y="7362825"/>
          <a:ext cx="0" cy="3000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0</xdr:rowOff>
    </xdr:from>
    <xdr:to>
      <xdr:col>9</xdr:col>
      <xdr:colOff>495300</xdr:colOff>
      <xdr:row>38</xdr:row>
      <xdr:rowOff>19050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ED3E3F1D-9BF6-49CE-9AFE-4E7C6D412031}"/>
            </a:ext>
          </a:extLst>
        </xdr:cNvPr>
        <xdr:cNvCxnSpPr/>
      </xdr:nvCxnSpPr>
      <xdr:spPr>
        <a:xfrm flipV="1">
          <a:off x="714375" y="10344150"/>
          <a:ext cx="57150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</xdr:colOff>
      <xdr:row>36</xdr:row>
      <xdr:rowOff>19050</xdr:rowOff>
    </xdr:from>
    <xdr:to>
      <xdr:col>1</xdr:col>
      <xdr:colOff>47625</xdr:colOff>
      <xdr:row>37</xdr:row>
      <xdr:rowOff>219075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64BD2BC0-DC89-4ABA-AE80-AA1E9B2DDDCD}"/>
            </a:ext>
          </a:extLst>
        </xdr:cNvPr>
        <xdr:cNvCxnSpPr/>
      </xdr:nvCxnSpPr>
      <xdr:spPr>
        <a:xfrm flipV="1">
          <a:off x="762000" y="9353550"/>
          <a:ext cx="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33</xdr:row>
      <xdr:rowOff>266700</xdr:rowOff>
    </xdr:from>
    <xdr:to>
      <xdr:col>5</xdr:col>
      <xdr:colOff>19050</xdr:colOff>
      <xdr:row>36</xdr:row>
      <xdr:rowOff>19050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341876FC-D37D-4BDC-A0C2-DFE60BED6042}"/>
            </a:ext>
          </a:extLst>
        </xdr:cNvPr>
        <xdr:cNvCxnSpPr/>
      </xdr:nvCxnSpPr>
      <xdr:spPr>
        <a:xfrm flipV="1">
          <a:off x="771525" y="8086725"/>
          <a:ext cx="2819400" cy="12668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33</xdr:row>
      <xdr:rowOff>247650</xdr:rowOff>
    </xdr:from>
    <xdr:to>
      <xdr:col>8</xdr:col>
      <xdr:colOff>9525</xdr:colOff>
      <xdr:row>33</xdr:row>
      <xdr:rowOff>276225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38A91919-A356-4D11-BAAA-066ED4A8DE16}"/>
            </a:ext>
          </a:extLst>
        </xdr:cNvPr>
        <xdr:cNvCxnSpPr/>
      </xdr:nvCxnSpPr>
      <xdr:spPr>
        <a:xfrm flipV="1">
          <a:off x="3571875" y="8067675"/>
          <a:ext cx="21526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704850</xdr:colOff>
      <xdr:row>33</xdr:row>
      <xdr:rowOff>276225</xdr:rowOff>
    </xdr:from>
    <xdr:to>
      <xdr:col>7</xdr:col>
      <xdr:colOff>704850</xdr:colOff>
      <xdr:row>37</xdr:row>
      <xdr:rowOff>161925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B52D0070-AE1C-4396-B9FA-A41002138E4C}"/>
            </a:ext>
          </a:extLst>
        </xdr:cNvPr>
        <xdr:cNvCxnSpPr/>
      </xdr:nvCxnSpPr>
      <xdr:spPr>
        <a:xfrm>
          <a:off x="5705475" y="8096250"/>
          <a:ext cx="0" cy="1905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</xdr:colOff>
      <xdr:row>37</xdr:row>
      <xdr:rowOff>190500</xdr:rowOff>
    </xdr:from>
    <xdr:to>
      <xdr:col>7</xdr:col>
      <xdr:colOff>704850</xdr:colOff>
      <xdr:row>37</xdr:row>
      <xdr:rowOff>219075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404AE660-BFF9-41BD-BA42-0819A8FB043A}"/>
            </a:ext>
          </a:extLst>
        </xdr:cNvPr>
        <xdr:cNvCxnSpPr/>
      </xdr:nvCxnSpPr>
      <xdr:spPr>
        <a:xfrm flipV="1">
          <a:off x="762000" y="10029825"/>
          <a:ext cx="4943475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11</xdr:row>
      <xdr:rowOff>95250</xdr:rowOff>
    </xdr:from>
    <xdr:to>
      <xdr:col>8</xdr:col>
      <xdr:colOff>885825</xdr:colOff>
      <xdr:row>11</xdr:row>
      <xdr:rowOff>95250</xdr:rowOff>
    </xdr:to>
    <xdr:sp macro="" textlink="">
      <xdr:nvSpPr>
        <xdr:cNvPr id="46246" name="Line 1">
          <a:extLst>
            <a:ext uri="{FF2B5EF4-FFF2-40B4-BE49-F238E27FC236}">
              <a16:creationId xmlns:a16="http://schemas.microsoft.com/office/drawing/2014/main" id="{72EF1D17-F2F2-E6BD-4393-1FADD80205DF}"/>
            </a:ext>
          </a:extLst>
        </xdr:cNvPr>
        <xdr:cNvSpPr>
          <a:spLocks noChangeShapeType="1"/>
        </xdr:cNvSpPr>
      </xdr:nvSpPr>
      <xdr:spPr bwMode="auto">
        <a:xfrm>
          <a:off x="5876925" y="2314575"/>
          <a:ext cx="781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10</xdr:row>
      <xdr:rowOff>95250</xdr:rowOff>
    </xdr:from>
    <xdr:to>
      <xdr:col>8</xdr:col>
      <xdr:colOff>466725</xdr:colOff>
      <xdr:row>11</xdr:row>
      <xdr:rowOff>95250</xdr:rowOff>
    </xdr:to>
    <xdr:sp macro="" textlink="">
      <xdr:nvSpPr>
        <xdr:cNvPr id="46247" name="Line 2">
          <a:extLst>
            <a:ext uri="{FF2B5EF4-FFF2-40B4-BE49-F238E27FC236}">
              <a16:creationId xmlns:a16="http://schemas.microsoft.com/office/drawing/2014/main" id="{580403A1-8310-604C-8182-E6F51D57C7FB}"/>
            </a:ext>
          </a:extLst>
        </xdr:cNvPr>
        <xdr:cNvSpPr>
          <a:spLocks noChangeShapeType="1"/>
        </xdr:cNvSpPr>
      </xdr:nvSpPr>
      <xdr:spPr bwMode="auto">
        <a:xfrm flipV="1">
          <a:off x="6238875" y="21240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10</xdr:row>
      <xdr:rowOff>95250</xdr:rowOff>
    </xdr:from>
    <xdr:to>
      <xdr:col>8</xdr:col>
      <xdr:colOff>895350</xdr:colOff>
      <xdr:row>10</xdr:row>
      <xdr:rowOff>95250</xdr:rowOff>
    </xdr:to>
    <xdr:sp macro="" textlink="">
      <xdr:nvSpPr>
        <xdr:cNvPr id="46248" name="Line 3">
          <a:extLst>
            <a:ext uri="{FF2B5EF4-FFF2-40B4-BE49-F238E27FC236}">
              <a16:creationId xmlns:a16="http://schemas.microsoft.com/office/drawing/2014/main" id="{FCC464B0-8C43-1A71-8F75-3EA2DF29D323}"/>
            </a:ext>
          </a:extLst>
        </xdr:cNvPr>
        <xdr:cNvSpPr>
          <a:spLocks noChangeShapeType="1"/>
        </xdr:cNvSpPr>
      </xdr:nvSpPr>
      <xdr:spPr bwMode="auto">
        <a:xfrm>
          <a:off x="6238875" y="2124075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11</xdr:row>
      <xdr:rowOff>95250</xdr:rowOff>
    </xdr:from>
    <xdr:to>
      <xdr:col>8</xdr:col>
      <xdr:colOff>885825</xdr:colOff>
      <xdr:row>11</xdr:row>
      <xdr:rowOff>95250</xdr:rowOff>
    </xdr:to>
    <xdr:sp macro="" textlink="">
      <xdr:nvSpPr>
        <xdr:cNvPr id="56486" name="Line 1">
          <a:extLst>
            <a:ext uri="{FF2B5EF4-FFF2-40B4-BE49-F238E27FC236}">
              <a16:creationId xmlns:a16="http://schemas.microsoft.com/office/drawing/2014/main" id="{5035D49D-0926-1DF4-237A-2ED5804D4C07}"/>
            </a:ext>
          </a:extLst>
        </xdr:cNvPr>
        <xdr:cNvSpPr>
          <a:spLocks noChangeShapeType="1"/>
        </xdr:cNvSpPr>
      </xdr:nvSpPr>
      <xdr:spPr bwMode="auto">
        <a:xfrm>
          <a:off x="5876925" y="2314575"/>
          <a:ext cx="781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10</xdr:row>
      <xdr:rowOff>95250</xdr:rowOff>
    </xdr:from>
    <xdr:to>
      <xdr:col>8</xdr:col>
      <xdr:colOff>466725</xdr:colOff>
      <xdr:row>11</xdr:row>
      <xdr:rowOff>95250</xdr:rowOff>
    </xdr:to>
    <xdr:sp macro="" textlink="">
      <xdr:nvSpPr>
        <xdr:cNvPr id="56487" name="Line 2">
          <a:extLst>
            <a:ext uri="{FF2B5EF4-FFF2-40B4-BE49-F238E27FC236}">
              <a16:creationId xmlns:a16="http://schemas.microsoft.com/office/drawing/2014/main" id="{6563560F-9264-7A2B-A431-07A5F3C85FD1}"/>
            </a:ext>
          </a:extLst>
        </xdr:cNvPr>
        <xdr:cNvSpPr>
          <a:spLocks noChangeShapeType="1"/>
        </xdr:cNvSpPr>
      </xdr:nvSpPr>
      <xdr:spPr bwMode="auto">
        <a:xfrm flipV="1">
          <a:off x="6238875" y="21240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10</xdr:row>
      <xdr:rowOff>95250</xdr:rowOff>
    </xdr:from>
    <xdr:to>
      <xdr:col>8</xdr:col>
      <xdr:colOff>895350</xdr:colOff>
      <xdr:row>10</xdr:row>
      <xdr:rowOff>95250</xdr:rowOff>
    </xdr:to>
    <xdr:sp macro="" textlink="">
      <xdr:nvSpPr>
        <xdr:cNvPr id="56488" name="Line 3">
          <a:extLst>
            <a:ext uri="{FF2B5EF4-FFF2-40B4-BE49-F238E27FC236}">
              <a16:creationId xmlns:a16="http://schemas.microsoft.com/office/drawing/2014/main" id="{D2D18E7C-8CA4-C5D2-E667-0BD054A185BA}"/>
            </a:ext>
          </a:extLst>
        </xdr:cNvPr>
        <xdr:cNvSpPr>
          <a:spLocks noChangeShapeType="1"/>
        </xdr:cNvSpPr>
      </xdr:nvSpPr>
      <xdr:spPr bwMode="auto">
        <a:xfrm>
          <a:off x="6238875" y="2124075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11</xdr:row>
      <xdr:rowOff>95250</xdr:rowOff>
    </xdr:from>
    <xdr:to>
      <xdr:col>8</xdr:col>
      <xdr:colOff>885825</xdr:colOff>
      <xdr:row>11</xdr:row>
      <xdr:rowOff>95250</xdr:rowOff>
    </xdr:to>
    <xdr:sp macro="" textlink="">
      <xdr:nvSpPr>
        <xdr:cNvPr id="47270" name="Line 1">
          <a:extLst>
            <a:ext uri="{FF2B5EF4-FFF2-40B4-BE49-F238E27FC236}">
              <a16:creationId xmlns:a16="http://schemas.microsoft.com/office/drawing/2014/main" id="{952185A9-C6F1-75D0-1511-55566E5FA228}"/>
            </a:ext>
          </a:extLst>
        </xdr:cNvPr>
        <xdr:cNvSpPr>
          <a:spLocks noChangeShapeType="1"/>
        </xdr:cNvSpPr>
      </xdr:nvSpPr>
      <xdr:spPr bwMode="auto">
        <a:xfrm>
          <a:off x="5905500" y="2314575"/>
          <a:ext cx="781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10</xdr:row>
      <xdr:rowOff>95250</xdr:rowOff>
    </xdr:from>
    <xdr:to>
      <xdr:col>8</xdr:col>
      <xdr:colOff>466725</xdr:colOff>
      <xdr:row>11</xdr:row>
      <xdr:rowOff>95250</xdr:rowOff>
    </xdr:to>
    <xdr:sp macro="" textlink="">
      <xdr:nvSpPr>
        <xdr:cNvPr id="47271" name="Line 2">
          <a:extLst>
            <a:ext uri="{FF2B5EF4-FFF2-40B4-BE49-F238E27FC236}">
              <a16:creationId xmlns:a16="http://schemas.microsoft.com/office/drawing/2014/main" id="{C093AF19-3112-5854-55BF-F7C1B62E8059}"/>
            </a:ext>
          </a:extLst>
        </xdr:cNvPr>
        <xdr:cNvSpPr>
          <a:spLocks noChangeShapeType="1"/>
        </xdr:cNvSpPr>
      </xdr:nvSpPr>
      <xdr:spPr bwMode="auto">
        <a:xfrm flipV="1">
          <a:off x="6267450" y="21240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10</xdr:row>
      <xdr:rowOff>95250</xdr:rowOff>
    </xdr:from>
    <xdr:to>
      <xdr:col>8</xdr:col>
      <xdr:colOff>895350</xdr:colOff>
      <xdr:row>10</xdr:row>
      <xdr:rowOff>95250</xdr:rowOff>
    </xdr:to>
    <xdr:sp macro="" textlink="">
      <xdr:nvSpPr>
        <xdr:cNvPr id="47272" name="Line 3">
          <a:extLst>
            <a:ext uri="{FF2B5EF4-FFF2-40B4-BE49-F238E27FC236}">
              <a16:creationId xmlns:a16="http://schemas.microsoft.com/office/drawing/2014/main" id="{5A01F5EA-9976-E024-8D4C-2AB240663109}"/>
            </a:ext>
          </a:extLst>
        </xdr:cNvPr>
        <xdr:cNvSpPr>
          <a:spLocks noChangeShapeType="1"/>
        </xdr:cNvSpPr>
      </xdr:nvSpPr>
      <xdr:spPr bwMode="auto">
        <a:xfrm>
          <a:off x="6267450" y="2124075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11</xdr:row>
      <xdr:rowOff>95250</xdr:rowOff>
    </xdr:from>
    <xdr:to>
      <xdr:col>8</xdr:col>
      <xdr:colOff>885825</xdr:colOff>
      <xdr:row>11</xdr:row>
      <xdr:rowOff>95250</xdr:rowOff>
    </xdr:to>
    <xdr:sp macro="" textlink="">
      <xdr:nvSpPr>
        <xdr:cNvPr id="60516" name="Line 1">
          <a:extLst>
            <a:ext uri="{FF2B5EF4-FFF2-40B4-BE49-F238E27FC236}">
              <a16:creationId xmlns:a16="http://schemas.microsoft.com/office/drawing/2014/main" id="{EA4A1518-D56F-FA46-7933-257B6E0D372E}"/>
            </a:ext>
          </a:extLst>
        </xdr:cNvPr>
        <xdr:cNvSpPr>
          <a:spLocks noChangeShapeType="1"/>
        </xdr:cNvSpPr>
      </xdr:nvSpPr>
      <xdr:spPr bwMode="auto">
        <a:xfrm>
          <a:off x="5905500" y="2314575"/>
          <a:ext cx="781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10</xdr:row>
      <xdr:rowOff>95250</xdr:rowOff>
    </xdr:from>
    <xdr:to>
      <xdr:col>8</xdr:col>
      <xdr:colOff>466725</xdr:colOff>
      <xdr:row>11</xdr:row>
      <xdr:rowOff>95250</xdr:rowOff>
    </xdr:to>
    <xdr:sp macro="" textlink="">
      <xdr:nvSpPr>
        <xdr:cNvPr id="60517" name="Line 2">
          <a:extLst>
            <a:ext uri="{FF2B5EF4-FFF2-40B4-BE49-F238E27FC236}">
              <a16:creationId xmlns:a16="http://schemas.microsoft.com/office/drawing/2014/main" id="{A07CD189-662D-2E44-B436-6782E26BE489}"/>
            </a:ext>
          </a:extLst>
        </xdr:cNvPr>
        <xdr:cNvSpPr>
          <a:spLocks noChangeShapeType="1"/>
        </xdr:cNvSpPr>
      </xdr:nvSpPr>
      <xdr:spPr bwMode="auto">
        <a:xfrm flipV="1">
          <a:off x="6267450" y="21240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10</xdr:row>
      <xdr:rowOff>95250</xdr:rowOff>
    </xdr:from>
    <xdr:to>
      <xdr:col>8</xdr:col>
      <xdr:colOff>895350</xdr:colOff>
      <xdr:row>10</xdr:row>
      <xdr:rowOff>95250</xdr:rowOff>
    </xdr:to>
    <xdr:sp macro="" textlink="">
      <xdr:nvSpPr>
        <xdr:cNvPr id="60518" name="Line 3">
          <a:extLst>
            <a:ext uri="{FF2B5EF4-FFF2-40B4-BE49-F238E27FC236}">
              <a16:creationId xmlns:a16="http://schemas.microsoft.com/office/drawing/2014/main" id="{E2DB5B4E-054A-8F09-535B-EE4FD6018E58}"/>
            </a:ext>
          </a:extLst>
        </xdr:cNvPr>
        <xdr:cNvSpPr>
          <a:spLocks noChangeShapeType="1"/>
        </xdr:cNvSpPr>
      </xdr:nvSpPr>
      <xdr:spPr bwMode="auto">
        <a:xfrm>
          <a:off x="6267450" y="2124075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11</xdr:row>
      <xdr:rowOff>95250</xdr:rowOff>
    </xdr:from>
    <xdr:to>
      <xdr:col>8</xdr:col>
      <xdr:colOff>885825</xdr:colOff>
      <xdr:row>11</xdr:row>
      <xdr:rowOff>95250</xdr:rowOff>
    </xdr:to>
    <xdr:sp macro="" textlink="">
      <xdr:nvSpPr>
        <xdr:cNvPr id="48294" name="Line 1">
          <a:extLst>
            <a:ext uri="{FF2B5EF4-FFF2-40B4-BE49-F238E27FC236}">
              <a16:creationId xmlns:a16="http://schemas.microsoft.com/office/drawing/2014/main" id="{668955BC-4487-C603-6004-5D8449B7162E}"/>
            </a:ext>
          </a:extLst>
        </xdr:cNvPr>
        <xdr:cNvSpPr>
          <a:spLocks noChangeShapeType="1"/>
        </xdr:cNvSpPr>
      </xdr:nvSpPr>
      <xdr:spPr bwMode="auto">
        <a:xfrm>
          <a:off x="5876925" y="2314575"/>
          <a:ext cx="781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10</xdr:row>
      <xdr:rowOff>95250</xdr:rowOff>
    </xdr:from>
    <xdr:to>
      <xdr:col>8</xdr:col>
      <xdr:colOff>466725</xdr:colOff>
      <xdr:row>11</xdr:row>
      <xdr:rowOff>95250</xdr:rowOff>
    </xdr:to>
    <xdr:sp macro="" textlink="">
      <xdr:nvSpPr>
        <xdr:cNvPr id="48295" name="Line 2">
          <a:extLst>
            <a:ext uri="{FF2B5EF4-FFF2-40B4-BE49-F238E27FC236}">
              <a16:creationId xmlns:a16="http://schemas.microsoft.com/office/drawing/2014/main" id="{2FBC2FEF-D06E-D0E5-5CA5-02DC5EC79155}"/>
            </a:ext>
          </a:extLst>
        </xdr:cNvPr>
        <xdr:cNvSpPr>
          <a:spLocks noChangeShapeType="1"/>
        </xdr:cNvSpPr>
      </xdr:nvSpPr>
      <xdr:spPr bwMode="auto">
        <a:xfrm flipV="1">
          <a:off x="6238875" y="21240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10</xdr:row>
      <xdr:rowOff>95250</xdr:rowOff>
    </xdr:from>
    <xdr:to>
      <xdr:col>8</xdr:col>
      <xdr:colOff>895350</xdr:colOff>
      <xdr:row>10</xdr:row>
      <xdr:rowOff>95250</xdr:rowOff>
    </xdr:to>
    <xdr:sp macro="" textlink="">
      <xdr:nvSpPr>
        <xdr:cNvPr id="48296" name="Line 3">
          <a:extLst>
            <a:ext uri="{FF2B5EF4-FFF2-40B4-BE49-F238E27FC236}">
              <a16:creationId xmlns:a16="http://schemas.microsoft.com/office/drawing/2014/main" id="{C57C5AB6-0BA9-3A9F-084A-0EB7D28C4E3B}"/>
            </a:ext>
          </a:extLst>
        </xdr:cNvPr>
        <xdr:cNvSpPr>
          <a:spLocks noChangeShapeType="1"/>
        </xdr:cNvSpPr>
      </xdr:nvSpPr>
      <xdr:spPr bwMode="auto">
        <a:xfrm>
          <a:off x="6238875" y="2124075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11</xdr:row>
      <xdr:rowOff>95250</xdr:rowOff>
    </xdr:from>
    <xdr:to>
      <xdr:col>8</xdr:col>
      <xdr:colOff>885825</xdr:colOff>
      <xdr:row>11</xdr:row>
      <xdr:rowOff>95250</xdr:rowOff>
    </xdr:to>
    <xdr:sp macro="" textlink="">
      <xdr:nvSpPr>
        <xdr:cNvPr id="53414" name="Line 1">
          <a:extLst>
            <a:ext uri="{FF2B5EF4-FFF2-40B4-BE49-F238E27FC236}">
              <a16:creationId xmlns:a16="http://schemas.microsoft.com/office/drawing/2014/main" id="{A545A430-5E81-6AB5-C955-7557BC853968}"/>
            </a:ext>
          </a:extLst>
        </xdr:cNvPr>
        <xdr:cNvSpPr>
          <a:spLocks noChangeShapeType="1"/>
        </xdr:cNvSpPr>
      </xdr:nvSpPr>
      <xdr:spPr bwMode="auto">
        <a:xfrm>
          <a:off x="5905500" y="2314575"/>
          <a:ext cx="781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10</xdr:row>
      <xdr:rowOff>95250</xdr:rowOff>
    </xdr:from>
    <xdr:to>
      <xdr:col>8</xdr:col>
      <xdr:colOff>466725</xdr:colOff>
      <xdr:row>11</xdr:row>
      <xdr:rowOff>95250</xdr:rowOff>
    </xdr:to>
    <xdr:sp macro="" textlink="">
      <xdr:nvSpPr>
        <xdr:cNvPr id="53415" name="Line 2">
          <a:extLst>
            <a:ext uri="{FF2B5EF4-FFF2-40B4-BE49-F238E27FC236}">
              <a16:creationId xmlns:a16="http://schemas.microsoft.com/office/drawing/2014/main" id="{EEF911C1-0768-35A5-F2A9-873BE330B290}"/>
            </a:ext>
          </a:extLst>
        </xdr:cNvPr>
        <xdr:cNvSpPr>
          <a:spLocks noChangeShapeType="1"/>
        </xdr:cNvSpPr>
      </xdr:nvSpPr>
      <xdr:spPr bwMode="auto">
        <a:xfrm flipV="1">
          <a:off x="6267450" y="21240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466725</xdr:colOff>
      <xdr:row>10</xdr:row>
      <xdr:rowOff>95250</xdr:rowOff>
    </xdr:from>
    <xdr:to>
      <xdr:col>8</xdr:col>
      <xdr:colOff>895350</xdr:colOff>
      <xdr:row>10</xdr:row>
      <xdr:rowOff>95250</xdr:rowOff>
    </xdr:to>
    <xdr:sp macro="" textlink="">
      <xdr:nvSpPr>
        <xdr:cNvPr id="53416" name="Line 3">
          <a:extLst>
            <a:ext uri="{FF2B5EF4-FFF2-40B4-BE49-F238E27FC236}">
              <a16:creationId xmlns:a16="http://schemas.microsoft.com/office/drawing/2014/main" id="{3168192A-7478-FE27-366A-89D7C4E17CA0}"/>
            </a:ext>
          </a:extLst>
        </xdr:cNvPr>
        <xdr:cNvSpPr>
          <a:spLocks noChangeShapeType="1"/>
        </xdr:cNvSpPr>
      </xdr:nvSpPr>
      <xdr:spPr bwMode="auto">
        <a:xfrm>
          <a:off x="6267450" y="2124075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8441-DC71-4256-9612-E15FFC43CB95}">
  <dimension ref="A1:AC41"/>
  <sheetViews>
    <sheetView tabSelected="1" workbookViewId="0"/>
  </sheetViews>
  <sheetFormatPr baseColWidth="10" defaultRowHeight="12.75" x14ac:dyDescent="0.2"/>
  <cols>
    <col min="9" max="28" width="0" hidden="1" customWidth="1"/>
  </cols>
  <sheetData>
    <row r="1" spans="1:29" ht="16.5" thickBot="1" x14ac:dyDescent="0.25">
      <c r="A1" s="747"/>
      <c r="B1" s="843" t="s">
        <v>363</v>
      </c>
      <c r="C1" s="844"/>
      <c r="D1" s="845"/>
      <c r="E1" s="747"/>
      <c r="F1" s="747"/>
      <c r="G1" s="747"/>
      <c r="H1" s="747"/>
      <c r="I1" s="747"/>
      <c r="J1" s="846" t="s">
        <v>364</v>
      </c>
      <c r="K1" s="846"/>
      <c r="L1" s="846"/>
      <c r="M1" s="846"/>
      <c r="N1" s="846"/>
      <c r="O1" s="846"/>
      <c r="P1" s="846"/>
      <c r="Q1" s="747"/>
      <c r="R1" s="747"/>
      <c r="S1" s="747"/>
      <c r="T1" s="747"/>
      <c r="U1" s="747"/>
      <c r="V1" s="747"/>
      <c r="W1" s="747"/>
      <c r="X1" s="747"/>
      <c r="Y1" s="747"/>
      <c r="Z1" s="747"/>
      <c r="AA1" s="747"/>
      <c r="AB1" s="747"/>
      <c r="AC1" s="747"/>
    </row>
    <row r="2" spans="1:29" ht="19.5" thickBot="1" x14ac:dyDescent="0.25">
      <c r="A2" s="747"/>
      <c r="B2" s="747"/>
      <c r="C2" s="747"/>
      <c r="D2" s="747"/>
      <c r="E2" s="747"/>
      <c r="F2" s="747"/>
      <c r="G2" s="747"/>
      <c r="H2" s="747"/>
      <c r="I2" s="747"/>
      <c r="J2" s="748" t="s">
        <v>365</v>
      </c>
      <c r="K2" s="833" t="s">
        <v>366</v>
      </c>
      <c r="L2" s="834"/>
      <c r="M2" s="835" t="s">
        <v>367</v>
      </c>
      <c r="N2" s="836"/>
      <c r="O2" s="837" t="s">
        <v>368</v>
      </c>
      <c r="P2" s="838"/>
      <c r="Q2" s="747"/>
      <c r="R2" s="817" t="s">
        <v>153</v>
      </c>
      <c r="S2" s="817"/>
      <c r="T2" s="817"/>
      <c r="U2" s="817"/>
      <c r="V2" s="747"/>
      <c r="W2" s="747"/>
      <c r="X2" s="817" t="s">
        <v>152</v>
      </c>
      <c r="Y2" s="817"/>
      <c r="Z2" s="817"/>
      <c r="AA2" s="817"/>
      <c r="AB2" s="747"/>
      <c r="AC2" s="747"/>
    </row>
    <row r="3" spans="1:29" ht="19.5" thickBot="1" x14ac:dyDescent="0.25">
      <c r="A3" s="747"/>
      <c r="B3" s="817" t="s">
        <v>8</v>
      </c>
      <c r="C3" s="841"/>
      <c r="D3" s="749">
        <v>1023</v>
      </c>
      <c r="E3" s="842" t="s">
        <v>369</v>
      </c>
      <c r="F3" s="817"/>
      <c r="G3" s="749">
        <v>13</v>
      </c>
      <c r="H3" s="747"/>
      <c r="I3" s="747"/>
      <c r="J3" s="750" t="s">
        <v>171</v>
      </c>
      <c r="K3" s="751"/>
      <c r="L3" s="752" t="s">
        <v>370</v>
      </c>
      <c r="M3" s="751"/>
      <c r="N3" s="752" t="s">
        <v>370</v>
      </c>
      <c r="O3" s="751"/>
      <c r="P3" s="752" t="s">
        <v>370</v>
      </c>
      <c r="Q3" s="747"/>
      <c r="R3" s="753" t="s">
        <v>171</v>
      </c>
      <c r="S3" s="754" t="s">
        <v>14</v>
      </c>
      <c r="T3" s="754" t="s">
        <v>371</v>
      </c>
      <c r="U3" s="755" t="s">
        <v>28</v>
      </c>
      <c r="V3" s="747"/>
      <c r="W3" s="747"/>
      <c r="X3" s="753" t="s">
        <v>171</v>
      </c>
      <c r="Y3" s="754" t="s">
        <v>14</v>
      </c>
      <c r="Z3" s="754" t="s">
        <v>371</v>
      </c>
      <c r="AA3" s="755" t="s">
        <v>28</v>
      </c>
      <c r="AB3" s="747"/>
      <c r="AC3" s="747"/>
    </row>
    <row r="4" spans="1:29" ht="19.5" thickBot="1" x14ac:dyDescent="0.25">
      <c r="A4" s="747"/>
      <c r="B4" s="747"/>
      <c r="C4" s="747"/>
      <c r="D4" s="747"/>
      <c r="E4" s="747"/>
      <c r="F4" s="747"/>
      <c r="G4" s="747"/>
      <c r="H4" s="747"/>
      <c r="I4" s="747"/>
      <c r="J4" s="756" t="s">
        <v>372</v>
      </c>
      <c r="K4" s="757">
        <v>250</v>
      </c>
      <c r="L4" s="758">
        <v>445</v>
      </c>
      <c r="M4" s="757">
        <v>270</v>
      </c>
      <c r="N4" s="758">
        <v>480</v>
      </c>
      <c r="O4" s="757">
        <v>290</v>
      </c>
      <c r="P4" s="758">
        <v>517</v>
      </c>
      <c r="Q4" s="747"/>
      <c r="R4" s="759" t="s">
        <v>323</v>
      </c>
      <c r="S4" s="760">
        <f>K4+(K6-K4)/2000*D7</f>
        <v>253.066</v>
      </c>
      <c r="T4" s="760">
        <f>M4+(M6-M4)/2000*D7</f>
        <v>273.28500000000003</v>
      </c>
      <c r="U4" s="761">
        <f>O4+(O6-O4)/2000*D7</f>
        <v>293.577</v>
      </c>
      <c r="V4" s="747"/>
      <c r="W4" s="747"/>
      <c r="X4" s="759" t="s">
        <v>323</v>
      </c>
      <c r="Y4" s="760">
        <f>K16+(K18-K16)/2000*D7</f>
        <v>226.02199999999999</v>
      </c>
      <c r="Z4" s="760">
        <f>M16+(M18-M16)/2000*D7</f>
        <v>234.02199999999999</v>
      </c>
      <c r="AA4" s="761">
        <f>O16+(O18-O16)/2000*D7</f>
        <v>242.02199999999999</v>
      </c>
      <c r="AB4" s="747"/>
      <c r="AC4" s="747"/>
    </row>
    <row r="5" spans="1:29" ht="19.5" thickBot="1" x14ac:dyDescent="0.25">
      <c r="A5" s="747"/>
      <c r="B5" s="817" t="s">
        <v>373</v>
      </c>
      <c r="C5" s="817"/>
      <c r="D5" s="749">
        <v>426</v>
      </c>
      <c r="E5" s="842" t="s">
        <v>374</v>
      </c>
      <c r="F5" s="817"/>
      <c r="G5" s="762">
        <f>15-2/1000*D5</f>
        <v>14.148</v>
      </c>
      <c r="H5" s="763"/>
      <c r="I5" s="747"/>
      <c r="J5" s="764"/>
      <c r="K5" s="765"/>
      <c r="L5" s="766"/>
      <c r="M5" s="765"/>
      <c r="N5" s="766"/>
      <c r="O5" s="765"/>
      <c r="P5" s="766"/>
      <c r="Q5" s="747"/>
      <c r="R5" s="759" t="s">
        <v>324</v>
      </c>
      <c r="S5" s="760">
        <f>K6+(K8-K6)/2000*D7</f>
        <v>295.43099999999998</v>
      </c>
      <c r="T5" s="760">
        <f>M6+(M8-M6)/2000*D7</f>
        <v>318.72300000000001</v>
      </c>
      <c r="U5" s="761">
        <f>O6+(O8-O6)/2000*D7</f>
        <v>343.01499999999999</v>
      </c>
      <c r="V5" s="747"/>
      <c r="W5" s="747"/>
      <c r="X5" s="759" t="s">
        <v>324</v>
      </c>
      <c r="Y5" s="760">
        <f>K18+(K20-K18)/2000*D7</f>
        <v>240.02199999999999</v>
      </c>
      <c r="Z5" s="760">
        <f>M18+(M20-M18)/2000*D7</f>
        <v>248.095</v>
      </c>
      <c r="AA5" s="761">
        <f>O18+(O20-O18)/2000*D7</f>
        <v>256.16800000000001</v>
      </c>
      <c r="AB5" s="747"/>
      <c r="AC5" s="747"/>
    </row>
    <row r="6" spans="1:29" ht="19.5" thickBot="1" x14ac:dyDescent="0.25">
      <c r="A6" s="747"/>
      <c r="B6" s="747"/>
      <c r="C6" s="747"/>
      <c r="D6" s="747"/>
      <c r="E6" s="747"/>
      <c r="F6" s="747"/>
      <c r="G6" s="747"/>
      <c r="H6" s="747"/>
      <c r="I6" s="747"/>
      <c r="J6" s="767" t="s">
        <v>375</v>
      </c>
      <c r="K6" s="768">
        <v>292</v>
      </c>
      <c r="L6" s="769">
        <v>522</v>
      </c>
      <c r="M6" s="768">
        <v>315</v>
      </c>
      <c r="N6" s="769">
        <v>564</v>
      </c>
      <c r="O6" s="768">
        <v>339</v>
      </c>
      <c r="P6" s="769">
        <v>607</v>
      </c>
      <c r="Q6" s="747"/>
      <c r="R6" s="770" t="s">
        <v>325</v>
      </c>
      <c r="S6" s="771">
        <f>K8+(K10-K8)/2000*D7</f>
        <v>343.30700000000002</v>
      </c>
      <c r="T6" s="771">
        <f>M8+(M10-M8)/2000*D7</f>
        <v>370.67200000000003</v>
      </c>
      <c r="U6" s="772">
        <f>O8+(O10-O8)/2000*D7</f>
        <v>399.11</v>
      </c>
      <c r="V6" s="747"/>
      <c r="W6" s="747"/>
      <c r="X6" s="770" t="s">
        <v>325</v>
      </c>
      <c r="Y6" s="771">
        <f>K20+(K22-K20)/2000*D7</f>
        <v>254.16800000000001</v>
      </c>
      <c r="Z6" s="771">
        <f>M20+(M22-M20)/2000*D7</f>
        <v>263.24099999999999</v>
      </c>
      <c r="AA6" s="772">
        <f>O20+(O22-O20)/2000*D7</f>
        <v>272.31400000000002</v>
      </c>
      <c r="AB6" s="747"/>
      <c r="AC6" s="747"/>
    </row>
    <row r="7" spans="1:29" ht="19.5" thickBot="1" x14ac:dyDescent="0.25">
      <c r="A7" s="747"/>
      <c r="B7" s="817" t="s">
        <v>96</v>
      </c>
      <c r="C7" s="817"/>
      <c r="D7" s="773">
        <f>((1013-D3)*28)+D5</f>
        <v>146</v>
      </c>
      <c r="E7" s="842" t="s">
        <v>376</v>
      </c>
      <c r="F7" s="817"/>
      <c r="G7" s="762">
        <f>G3-G5</f>
        <v>-1.1479999999999997</v>
      </c>
      <c r="H7" s="763"/>
      <c r="I7" s="747"/>
      <c r="J7" s="774"/>
      <c r="K7" s="751"/>
      <c r="L7" s="775"/>
      <c r="M7" s="751"/>
      <c r="N7" s="775"/>
      <c r="O7" s="751"/>
      <c r="P7" s="775"/>
      <c r="Q7" s="747"/>
      <c r="R7" s="747"/>
      <c r="S7" s="747"/>
      <c r="T7" s="747"/>
      <c r="U7" s="747"/>
      <c r="V7" s="747"/>
      <c r="W7" s="747"/>
      <c r="X7" s="747"/>
      <c r="Y7" s="747"/>
      <c r="Z7" s="747"/>
      <c r="AA7" s="747"/>
      <c r="AB7" s="747"/>
      <c r="AC7" s="747"/>
    </row>
    <row r="8" spans="1:29" ht="19.5" thickBot="1" x14ac:dyDescent="0.25">
      <c r="A8" s="747"/>
      <c r="B8" s="747"/>
      <c r="C8" s="747"/>
      <c r="D8" s="747"/>
      <c r="E8" s="747"/>
      <c r="F8" s="747"/>
      <c r="G8" s="747"/>
      <c r="H8" s="747"/>
      <c r="I8" s="747"/>
      <c r="J8" s="767" t="s">
        <v>377</v>
      </c>
      <c r="K8" s="768">
        <v>339</v>
      </c>
      <c r="L8" s="769">
        <v>608</v>
      </c>
      <c r="M8" s="768">
        <v>366</v>
      </c>
      <c r="N8" s="769">
        <v>657</v>
      </c>
      <c r="O8" s="768">
        <v>394</v>
      </c>
      <c r="P8" s="769">
        <v>708</v>
      </c>
      <c r="Q8" s="747"/>
      <c r="R8" s="753" t="s">
        <v>31</v>
      </c>
      <c r="S8" s="754">
        <v>0</v>
      </c>
      <c r="T8" s="754" t="s">
        <v>323</v>
      </c>
      <c r="U8" s="754" t="s">
        <v>324</v>
      </c>
      <c r="V8" s="755" t="s">
        <v>325</v>
      </c>
      <c r="W8" s="776"/>
      <c r="X8" s="753" t="s">
        <v>31</v>
      </c>
      <c r="Y8" s="754">
        <v>0</v>
      </c>
      <c r="Z8" s="754" t="s">
        <v>323</v>
      </c>
      <c r="AA8" s="754" t="s">
        <v>324</v>
      </c>
      <c r="AB8" s="755" t="s">
        <v>325</v>
      </c>
      <c r="AC8" s="777"/>
    </row>
    <row r="9" spans="1:29" ht="19.5" thickBot="1" x14ac:dyDescent="0.25">
      <c r="A9" s="747"/>
      <c r="B9" s="839" t="s">
        <v>378</v>
      </c>
      <c r="C9" s="839"/>
      <c r="D9" s="839" t="s">
        <v>379</v>
      </c>
      <c r="E9" s="839"/>
      <c r="G9" s="778" t="s">
        <v>380</v>
      </c>
      <c r="H9" s="747"/>
      <c r="I9" s="747"/>
      <c r="J9" s="774"/>
      <c r="K9" s="751"/>
      <c r="L9" s="775"/>
      <c r="M9" s="751"/>
      <c r="N9" s="775"/>
      <c r="O9" s="751"/>
      <c r="P9" s="775"/>
      <c r="Q9" s="747"/>
      <c r="R9" s="759" t="s">
        <v>14</v>
      </c>
      <c r="S9" s="760">
        <f>K4+(M4-K4)/10*G7</f>
        <v>247.70400000000001</v>
      </c>
      <c r="T9" s="760">
        <f>K6+(M6-K6)/10*G7</f>
        <v>289.3596</v>
      </c>
      <c r="U9" s="760">
        <f>K8+(M8-K8)/10*G7</f>
        <v>335.90039999999999</v>
      </c>
      <c r="V9" s="761">
        <f>K10+(M10-K10)/10*G7</f>
        <v>394.32639999999998</v>
      </c>
      <c r="W9" s="779"/>
      <c r="X9" s="759" t="s">
        <v>14</v>
      </c>
      <c r="Y9" s="760">
        <f>K16+(M16-K16)/10*G7</f>
        <v>224.08160000000001</v>
      </c>
      <c r="Z9" s="760">
        <f>K18+(M18-K18)/10*G7</f>
        <v>238.08160000000001</v>
      </c>
      <c r="AA9" s="760">
        <f>K20+(M20-K20)/10*G7</f>
        <v>251.96680000000001</v>
      </c>
      <c r="AB9" s="761">
        <f>K22+(M22-K22)/10*G7</f>
        <v>267.85199999999998</v>
      </c>
      <c r="AC9" s="747"/>
    </row>
    <row r="10" spans="1:29" ht="19.5" thickBot="1" x14ac:dyDescent="0.25">
      <c r="A10" s="747"/>
      <c r="C10" s="839" t="s">
        <v>381</v>
      </c>
      <c r="D10" s="839"/>
      <c r="E10" s="839"/>
      <c r="F10" s="839"/>
      <c r="G10" s="778" t="s">
        <v>382</v>
      </c>
      <c r="H10" s="747"/>
      <c r="I10" s="747"/>
      <c r="J10" s="767" t="s">
        <v>383</v>
      </c>
      <c r="K10" s="768">
        <v>398</v>
      </c>
      <c r="L10" s="769">
        <v>716</v>
      </c>
      <c r="M10" s="768">
        <v>430</v>
      </c>
      <c r="N10" s="769">
        <v>774</v>
      </c>
      <c r="O10" s="768">
        <v>464</v>
      </c>
      <c r="P10" s="769">
        <v>836</v>
      </c>
      <c r="Q10" s="747"/>
      <c r="R10" s="759" t="s">
        <v>371</v>
      </c>
      <c r="S10" s="760">
        <f>M4+(O4-M4)/10*G7</f>
        <v>267.70400000000001</v>
      </c>
      <c r="T10" s="760">
        <f>M6+(O6-M6)/10*G7</f>
        <v>312.2448</v>
      </c>
      <c r="U10" s="760">
        <f>M8+(O8-M8)/10*G7</f>
        <v>362.78559999999999</v>
      </c>
      <c r="V10" s="761">
        <f>M10+(O10-M10)/10*G7</f>
        <v>426.09679999999997</v>
      </c>
      <c r="W10" s="779"/>
      <c r="X10" s="759" t="s">
        <v>371</v>
      </c>
      <c r="Y10" s="760">
        <f>M16+(O16-M16)/10*G7</f>
        <v>232.08160000000001</v>
      </c>
      <c r="Z10" s="760">
        <f>M18+(O18-M18)/10*G7</f>
        <v>246.08160000000001</v>
      </c>
      <c r="AA10" s="760">
        <f>M20+(O20-M20)/10*G7</f>
        <v>260.96679999999998</v>
      </c>
      <c r="AB10" s="761">
        <f>M22+(O22-M22)/10*G7</f>
        <v>277.85199999999998</v>
      </c>
      <c r="AC10" s="747"/>
    </row>
    <row r="11" spans="1:29" ht="19.5" thickBot="1" x14ac:dyDescent="0.25">
      <c r="A11" s="747"/>
      <c r="B11" s="747"/>
      <c r="C11" s="747"/>
      <c r="D11" s="747"/>
      <c r="E11" s="840" t="s">
        <v>384</v>
      </c>
      <c r="F11" s="840"/>
      <c r="G11" s="817" t="s">
        <v>385</v>
      </c>
      <c r="H11" s="817"/>
      <c r="I11" s="747"/>
      <c r="J11" s="774"/>
      <c r="K11" s="751"/>
      <c r="L11" s="780"/>
      <c r="M11" s="781"/>
      <c r="N11" s="775"/>
      <c r="O11" s="781"/>
      <c r="P11" s="775"/>
      <c r="Q11" s="747"/>
      <c r="R11" s="770" t="s">
        <v>28</v>
      </c>
      <c r="S11" s="771">
        <f>O4+(310-O4)/10*G7</f>
        <v>287.70400000000001</v>
      </c>
      <c r="T11" s="771">
        <f>O6+(363-O6)/10*G7</f>
        <v>336.2448</v>
      </c>
      <c r="U11" s="771">
        <f>O8+(422-O8)/10*G7</f>
        <v>390.78559999999999</v>
      </c>
      <c r="V11" s="772">
        <f>O10+(498-O10)/10*G7</f>
        <v>460.09679999999997</v>
      </c>
      <c r="W11" s="779"/>
      <c r="X11" s="770" t="s">
        <v>28</v>
      </c>
      <c r="Y11" s="771">
        <f>O16+(249-O16)/10*G7</f>
        <v>240.08160000000001</v>
      </c>
      <c r="Z11" s="771">
        <f>O18+(263-O18)/10*G7</f>
        <v>254.08160000000001</v>
      </c>
      <c r="AA11" s="771">
        <f>O20+(280-O20)/10*G7</f>
        <v>269.96679999999998</v>
      </c>
      <c r="AB11" s="772">
        <f>O22+(299-O22)/10*G7</f>
        <v>287.85199999999998</v>
      </c>
      <c r="AC11" s="747"/>
    </row>
    <row r="12" spans="1:29" ht="15.75" x14ac:dyDescent="0.2">
      <c r="A12" s="747"/>
      <c r="B12" s="817" t="s">
        <v>386</v>
      </c>
      <c r="C12" s="817"/>
      <c r="D12" s="817"/>
      <c r="E12" s="782">
        <f>IF(G9="D",U16,V16)</f>
        <v>300.89383055999997</v>
      </c>
      <c r="F12" s="783" t="s">
        <v>170</v>
      </c>
      <c r="G12" s="782">
        <f>IF(G10="M",V18,V16)</f>
        <v>300.89383055999997</v>
      </c>
      <c r="H12" s="783" t="s">
        <v>170</v>
      </c>
      <c r="I12" s="747"/>
      <c r="J12" s="747"/>
      <c r="K12" s="747"/>
      <c r="L12" s="747"/>
      <c r="M12" s="747"/>
      <c r="N12" s="747"/>
      <c r="O12" s="747"/>
      <c r="P12" s="747"/>
      <c r="Q12" s="747"/>
      <c r="R12" s="747"/>
      <c r="S12" s="747"/>
      <c r="T12" s="747"/>
      <c r="U12" s="747"/>
      <c r="V12" s="747"/>
      <c r="W12" s="747"/>
      <c r="X12" s="747"/>
      <c r="Y12" s="747"/>
      <c r="Z12" s="747"/>
      <c r="AA12" s="747"/>
      <c r="AB12" s="747"/>
      <c r="AC12" s="747"/>
    </row>
    <row r="13" spans="1:29" ht="16.5" thickBot="1" x14ac:dyDescent="0.25">
      <c r="A13" s="747"/>
      <c r="B13" s="817" t="s">
        <v>387</v>
      </c>
      <c r="C13" s="817"/>
      <c r="D13" s="817"/>
      <c r="E13" s="782">
        <f>IF(G9="D",AA16,AB16)</f>
        <v>270.12432000000001</v>
      </c>
      <c r="F13" s="783" t="s">
        <v>170</v>
      </c>
      <c r="G13" s="782">
        <f>IF(G10="M",AB18,AB16)</f>
        <v>270.12432000000001</v>
      </c>
      <c r="H13" s="783" t="s">
        <v>170</v>
      </c>
      <c r="I13" s="747"/>
      <c r="J13" s="817" t="s">
        <v>388</v>
      </c>
      <c r="K13" s="817"/>
      <c r="L13" s="817"/>
      <c r="M13" s="817"/>
      <c r="N13" s="817"/>
      <c r="O13" s="817"/>
      <c r="P13" s="817"/>
      <c r="Q13" s="747"/>
      <c r="R13" s="747"/>
      <c r="S13" s="747" t="s">
        <v>323</v>
      </c>
      <c r="T13" s="747" t="s">
        <v>324</v>
      </c>
      <c r="U13" s="747" t="s">
        <v>325</v>
      </c>
      <c r="V13" s="747"/>
      <c r="W13" s="747"/>
      <c r="X13" s="747"/>
      <c r="Y13" s="747" t="s">
        <v>323</v>
      </c>
      <c r="Z13" s="747" t="s">
        <v>324</v>
      </c>
      <c r="AA13" s="747"/>
      <c r="AB13" s="747"/>
      <c r="AC13" s="747"/>
    </row>
    <row r="14" spans="1:29" ht="18.75" x14ac:dyDescent="0.2">
      <c r="A14" s="747"/>
      <c r="B14" s="817" t="s">
        <v>389</v>
      </c>
      <c r="C14" s="817"/>
      <c r="D14" s="817"/>
      <c r="E14" s="782">
        <f>IF(G9="H",V28,U28)</f>
        <v>535.85320463999994</v>
      </c>
      <c r="F14" s="783" t="s">
        <v>170</v>
      </c>
      <c r="G14" s="782">
        <f>IF(G10="M",V30,V28)</f>
        <v>535.85320463999994</v>
      </c>
      <c r="H14" s="783" t="s">
        <v>170</v>
      </c>
      <c r="I14" s="747"/>
      <c r="J14" s="748" t="s">
        <v>365</v>
      </c>
      <c r="K14" s="833" t="s">
        <v>366</v>
      </c>
      <c r="L14" s="834"/>
      <c r="M14" s="835" t="s">
        <v>367</v>
      </c>
      <c r="N14" s="836"/>
      <c r="O14" s="837" t="s">
        <v>368</v>
      </c>
      <c r="P14" s="838"/>
      <c r="Q14" s="747"/>
      <c r="R14" s="747"/>
      <c r="S14" s="763">
        <f>S9+(T9-S9)/2000*D7</f>
        <v>250.7448588</v>
      </c>
      <c r="T14" s="763">
        <f>S5+(T5-S5)/4000*D7</f>
        <v>296.281158</v>
      </c>
      <c r="U14" s="763"/>
      <c r="V14" s="747"/>
      <c r="W14" s="747"/>
      <c r="X14" s="747"/>
      <c r="Y14" s="763">
        <f>Y9+(Z9-Y9)/2000*D7</f>
        <v>225.1036</v>
      </c>
      <c r="Z14" s="763">
        <f>Y5+(Z5-Y5)/4000*D7</f>
        <v>240.3166645</v>
      </c>
      <c r="AA14" s="747"/>
      <c r="AB14" s="747"/>
      <c r="AC14" s="747"/>
    </row>
    <row r="15" spans="1:29" ht="19.5" thickBot="1" x14ac:dyDescent="0.25">
      <c r="A15" s="747"/>
      <c r="B15" s="747"/>
      <c r="C15" s="747"/>
      <c r="D15" s="747"/>
      <c r="E15" s="747"/>
      <c r="F15" s="747"/>
      <c r="G15" s="747"/>
      <c r="H15" s="747"/>
      <c r="I15" s="747"/>
      <c r="J15" s="750" t="s">
        <v>171</v>
      </c>
      <c r="K15" s="751"/>
      <c r="L15" s="752" t="s">
        <v>390</v>
      </c>
      <c r="M15" s="751"/>
      <c r="N15" s="752" t="s">
        <v>390</v>
      </c>
      <c r="O15" s="751"/>
      <c r="P15" s="752" t="s">
        <v>390</v>
      </c>
      <c r="Q15" s="747"/>
      <c r="R15" s="747"/>
      <c r="S15" s="763">
        <f>S4+(T4-S4)/10*G7</f>
        <v>250.7448588</v>
      </c>
      <c r="T15" s="763"/>
      <c r="U15" s="763" t="s">
        <v>391</v>
      </c>
      <c r="V15" s="747" t="s">
        <v>380</v>
      </c>
      <c r="W15" s="747"/>
      <c r="X15" s="747"/>
      <c r="Y15" s="763"/>
      <c r="Z15" s="763"/>
      <c r="AA15" s="747" t="s">
        <v>391</v>
      </c>
      <c r="AB15" s="747" t="s">
        <v>380</v>
      </c>
      <c r="AC15" s="747"/>
    </row>
    <row r="16" spans="1:29" ht="20.25" thickTop="1" thickBot="1" x14ac:dyDescent="0.25">
      <c r="A16" s="747"/>
      <c r="B16" s="747"/>
      <c r="C16" s="827" t="s">
        <v>392</v>
      </c>
      <c r="D16" s="828"/>
      <c r="E16" s="829"/>
      <c r="F16" s="747"/>
      <c r="G16" s="747"/>
      <c r="H16" s="747"/>
      <c r="I16" s="747"/>
      <c r="J16" s="756" t="s">
        <v>372</v>
      </c>
      <c r="K16" s="768">
        <v>225</v>
      </c>
      <c r="L16" s="784">
        <v>575</v>
      </c>
      <c r="M16" s="768">
        <v>233</v>
      </c>
      <c r="N16" s="769">
        <v>583</v>
      </c>
      <c r="O16" s="785">
        <v>241</v>
      </c>
      <c r="P16" s="769">
        <v>591</v>
      </c>
      <c r="Q16" s="747"/>
      <c r="R16" s="747" t="s">
        <v>323</v>
      </c>
      <c r="S16" s="786">
        <f>IF(D7&lt;2000,S14,T14)</f>
        <v>250.7448588</v>
      </c>
      <c r="T16" s="763"/>
      <c r="U16" s="763">
        <f>S16</f>
        <v>250.7448588</v>
      </c>
      <c r="V16" s="763">
        <f>S16*1.2</f>
        <v>300.89383055999997</v>
      </c>
      <c r="W16" s="747"/>
      <c r="X16" s="747" t="s">
        <v>323</v>
      </c>
      <c r="Y16" s="786">
        <f>IF(D7&lt;=2000,Y14,Z14)</f>
        <v>225.1036</v>
      </c>
      <c r="Z16" s="763"/>
      <c r="AA16" s="763">
        <f>Y16</f>
        <v>225.1036</v>
      </c>
      <c r="AB16" s="763">
        <f>Y16*1.2</f>
        <v>270.12432000000001</v>
      </c>
      <c r="AC16" s="747"/>
    </row>
    <row r="17" spans="1:29" ht="20.25" thickTop="1" thickBot="1" x14ac:dyDescent="0.25">
      <c r="A17" s="747"/>
      <c r="C17" s="2"/>
      <c r="D17" s="2"/>
      <c r="E17" s="2"/>
      <c r="G17" s="747"/>
      <c r="H17" s="747"/>
      <c r="I17" s="747"/>
      <c r="J17" s="764"/>
      <c r="K17" s="765"/>
      <c r="L17" s="787"/>
      <c r="M17" s="765"/>
      <c r="N17" s="766"/>
      <c r="O17" s="788"/>
      <c r="P17" s="766"/>
      <c r="Q17" s="747"/>
      <c r="R17" s="747" t="s">
        <v>324</v>
      </c>
      <c r="S17" s="763">
        <f>T14</f>
        <v>296.281158</v>
      </c>
      <c r="T17" s="763"/>
      <c r="U17" s="763"/>
      <c r="V17" s="747" t="s">
        <v>393</v>
      </c>
      <c r="W17" s="747"/>
      <c r="X17" s="747" t="s">
        <v>324</v>
      </c>
      <c r="Y17" s="763">
        <f>Z14</f>
        <v>240.3166645</v>
      </c>
      <c r="Z17" s="763"/>
      <c r="AA17" s="747"/>
      <c r="AB17" s="747" t="s">
        <v>393</v>
      </c>
      <c r="AC17" s="747"/>
    </row>
    <row r="18" spans="1:29" ht="19.5" thickBot="1" x14ac:dyDescent="0.25">
      <c r="A18" s="747"/>
      <c r="D18" s="830" t="s">
        <v>394</v>
      </c>
      <c r="E18" s="831"/>
      <c r="F18" s="832"/>
      <c r="G18" s="747"/>
      <c r="H18" s="747"/>
      <c r="I18" s="747"/>
      <c r="J18" s="767" t="s">
        <v>375</v>
      </c>
      <c r="K18" s="768">
        <v>239</v>
      </c>
      <c r="L18" s="784">
        <v>589</v>
      </c>
      <c r="M18" s="768">
        <v>247</v>
      </c>
      <c r="N18" s="769">
        <v>597</v>
      </c>
      <c r="O18" s="785">
        <v>255</v>
      </c>
      <c r="P18" s="769">
        <v>605</v>
      </c>
      <c r="Q18" s="747"/>
      <c r="R18" s="747"/>
      <c r="S18" s="747"/>
      <c r="T18" s="747"/>
      <c r="U18" s="747"/>
      <c r="V18" s="763">
        <f>U16*1.3</f>
        <v>325.96831644000002</v>
      </c>
      <c r="W18" s="747"/>
      <c r="X18" s="747"/>
      <c r="Y18" s="747"/>
      <c r="Z18" s="747"/>
      <c r="AA18" s="747"/>
      <c r="AB18" s="763">
        <f>Y16*1.6</f>
        <v>360.16576000000003</v>
      </c>
      <c r="AC18" s="747"/>
    </row>
    <row r="19" spans="1:29" ht="19.5" thickBot="1" x14ac:dyDescent="0.25">
      <c r="A19" s="747"/>
      <c r="D19" s="789" t="s">
        <v>306</v>
      </c>
      <c r="E19" s="789" t="s">
        <v>395</v>
      </c>
      <c r="F19" s="789" t="s">
        <v>334</v>
      </c>
      <c r="G19" s="747"/>
      <c r="H19" s="747"/>
      <c r="I19" s="747"/>
      <c r="J19" s="774"/>
      <c r="K19" s="751"/>
      <c r="L19" s="790"/>
      <c r="M19" s="751"/>
      <c r="N19" s="775"/>
      <c r="O19" s="791"/>
      <c r="P19" s="775"/>
      <c r="Q19" s="747"/>
      <c r="R19" s="817" t="s">
        <v>396</v>
      </c>
      <c r="S19" s="817"/>
      <c r="T19" s="817"/>
      <c r="U19" s="817"/>
      <c r="V19" s="763">
        <f>IF(G9="D",U16,V16)</f>
        <v>300.89383055999997</v>
      </c>
      <c r="W19" s="747"/>
      <c r="X19" s="747"/>
      <c r="Y19" s="747"/>
      <c r="Z19" s="747"/>
      <c r="AA19" s="747"/>
      <c r="AB19" s="747"/>
      <c r="AC19" s="747"/>
    </row>
    <row r="20" spans="1:29" ht="18.75" x14ac:dyDescent="0.2">
      <c r="A20" s="747"/>
      <c r="D20" s="792" t="s">
        <v>397</v>
      </c>
      <c r="E20" s="792" t="s">
        <v>398</v>
      </c>
      <c r="F20" s="792" t="s">
        <v>399</v>
      </c>
      <c r="G20" s="747"/>
      <c r="H20" s="747"/>
      <c r="I20" s="747"/>
      <c r="J20" s="767" t="s">
        <v>377</v>
      </c>
      <c r="K20" s="757">
        <v>253</v>
      </c>
      <c r="L20" s="793">
        <v>603</v>
      </c>
      <c r="M20" s="757">
        <v>262</v>
      </c>
      <c r="N20" s="758">
        <v>612</v>
      </c>
      <c r="O20" s="794">
        <v>271</v>
      </c>
      <c r="P20" s="758">
        <v>621</v>
      </c>
      <c r="Q20" s="747"/>
      <c r="R20" s="753" t="s">
        <v>171</v>
      </c>
      <c r="S20" s="754" t="s">
        <v>14</v>
      </c>
      <c r="T20" s="754" t="s">
        <v>371</v>
      </c>
      <c r="U20" s="755" t="s">
        <v>28</v>
      </c>
      <c r="V20" s="747"/>
      <c r="W20" s="747"/>
      <c r="X20" s="747"/>
      <c r="Y20" s="747"/>
      <c r="Z20" s="747"/>
      <c r="AA20" s="747"/>
      <c r="AB20" s="747"/>
      <c r="AC20" s="747"/>
    </row>
    <row r="21" spans="1:29" ht="19.5" thickBot="1" x14ac:dyDescent="0.25">
      <c r="A21" s="747"/>
      <c r="B21" s="818" t="s">
        <v>82</v>
      </c>
      <c r="C21" s="818"/>
      <c r="D21" s="796">
        <v>360</v>
      </c>
      <c r="E21" s="797">
        <v>673</v>
      </c>
      <c r="F21" s="795">
        <f>D21*E21</f>
        <v>242280</v>
      </c>
      <c r="G21" s="747"/>
      <c r="H21" s="747"/>
      <c r="I21" s="747"/>
      <c r="J21" s="774"/>
      <c r="K21" s="765"/>
      <c r="L21" s="787"/>
      <c r="M21" s="765"/>
      <c r="N21" s="766"/>
      <c r="O21" s="788"/>
      <c r="P21" s="766"/>
      <c r="Q21" s="747"/>
      <c r="R21" s="759" t="s">
        <v>323</v>
      </c>
      <c r="S21" s="760">
        <f>L4+(L6-L4)/2000*D7</f>
        <v>450.62099999999998</v>
      </c>
      <c r="T21" s="760">
        <f>N4+(N6-N4)/2000*D7</f>
        <v>486.13200000000001</v>
      </c>
      <c r="U21" s="761">
        <f>P4+(P6-P4)/2000*D7</f>
        <v>523.57000000000005</v>
      </c>
      <c r="V21" s="747"/>
      <c r="W21" s="747"/>
      <c r="X21" s="747"/>
      <c r="Y21" s="747"/>
      <c r="Z21" s="747"/>
      <c r="AA21" s="747"/>
      <c r="AB21" s="747"/>
      <c r="AC21" s="747"/>
    </row>
    <row r="22" spans="1:29" ht="18.75" x14ac:dyDescent="0.2">
      <c r="A22" s="747"/>
      <c r="B22" s="818" t="s">
        <v>400</v>
      </c>
      <c r="C22" s="818"/>
      <c r="D22" s="796">
        <v>95</v>
      </c>
      <c r="E22" s="797">
        <v>1150</v>
      </c>
      <c r="F22" s="795">
        <f t="shared" ref="F22:F25" si="0">D22*E22</f>
        <v>109250</v>
      </c>
      <c r="G22" s="747"/>
      <c r="H22" s="747"/>
      <c r="I22" s="747"/>
      <c r="J22" s="767" t="s">
        <v>383</v>
      </c>
      <c r="K22" s="768">
        <v>269</v>
      </c>
      <c r="L22" s="784">
        <v>619</v>
      </c>
      <c r="M22" s="768">
        <v>279</v>
      </c>
      <c r="N22" s="769">
        <v>629</v>
      </c>
      <c r="O22" s="785">
        <v>289</v>
      </c>
      <c r="P22" s="769">
        <v>639</v>
      </c>
      <c r="Q22" s="747"/>
      <c r="R22" s="759" t="s">
        <v>324</v>
      </c>
      <c r="S22" s="760">
        <f>L6+(L8-L6)/2000*D7</f>
        <v>528.27800000000002</v>
      </c>
      <c r="T22" s="760">
        <f>N6+(N8-N6)/2000*D7</f>
        <v>570.78899999999999</v>
      </c>
      <c r="U22" s="761">
        <f>P6+(P8-P6)/2000*D7</f>
        <v>614.37300000000005</v>
      </c>
      <c r="V22" s="747"/>
      <c r="W22" s="747"/>
      <c r="X22" s="747"/>
      <c r="Y22" s="747"/>
      <c r="Z22" s="747"/>
      <c r="AA22" s="747"/>
      <c r="AB22" s="747"/>
      <c r="AC22" s="747"/>
    </row>
    <row r="23" spans="1:29" ht="19.5" thickBot="1" x14ac:dyDescent="0.25">
      <c r="A23" s="747"/>
      <c r="B23" s="818" t="s">
        <v>401</v>
      </c>
      <c r="C23" s="818"/>
      <c r="D23" s="796">
        <v>65</v>
      </c>
      <c r="E23" s="797">
        <v>1050</v>
      </c>
      <c r="F23" s="795">
        <f t="shared" si="0"/>
        <v>68250</v>
      </c>
      <c r="G23" s="747"/>
      <c r="H23" s="747"/>
      <c r="I23" s="747"/>
      <c r="J23" s="774"/>
      <c r="K23" s="751"/>
      <c r="L23" s="790"/>
      <c r="M23" s="751"/>
      <c r="N23" s="775"/>
      <c r="O23" s="791"/>
      <c r="P23" s="775"/>
      <c r="Q23" s="747"/>
      <c r="R23" s="770" t="s">
        <v>325</v>
      </c>
      <c r="S23" s="771">
        <f>L8+(L10-L8)/2000*D7</f>
        <v>615.88400000000001</v>
      </c>
      <c r="T23" s="771">
        <f>N8+(N10-N8)/2000*D7</f>
        <v>665.54100000000005</v>
      </c>
      <c r="U23" s="772">
        <f>P8+(P10-P8)/2000*D7</f>
        <v>717.34400000000005</v>
      </c>
      <c r="V23" s="747"/>
      <c r="W23" s="747"/>
      <c r="X23" s="747"/>
      <c r="Y23" s="747"/>
      <c r="Z23" s="747"/>
      <c r="AA23" s="747"/>
      <c r="AB23" s="747"/>
      <c r="AC23" s="747"/>
    </row>
    <row r="24" spans="1:29" ht="15.75" x14ac:dyDescent="0.2">
      <c r="A24" s="747"/>
      <c r="B24" s="818" t="s">
        <v>402</v>
      </c>
      <c r="C24" s="818"/>
      <c r="D24" s="796">
        <v>20</v>
      </c>
      <c r="E24" s="797">
        <v>1580</v>
      </c>
      <c r="F24" s="795">
        <f t="shared" si="0"/>
        <v>31600</v>
      </c>
      <c r="G24" s="747"/>
      <c r="H24" s="747"/>
      <c r="I24" s="747"/>
      <c r="J24" s="747"/>
      <c r="K24" s="747"/>
      <c r="L24" s="747"/>
      <c r="M24" s="747"/>
      <c r="N24" s="747"/>
      <c r="O24" s="747"/>
      <c r="P24" s="747"/>
      <c r="Q24" s="747"/>
      <c r="R24" s="747"/>
      <c r="S24" s="747"/>
      <c r="T24" s="747"/>
      <c r="U24" s="747"/>
      <c r="V24" s="747"/>
      <c r="W24" s="747"/>
      <c r="X24" s="747"/>
      <c r="Y24" s="747"/>
      <c r="Z24" s="747"/>
      <c r="AA24" s="747"/>
      <c r="AB24" s="747"/>
      <c r="AC24" s="747"/>
    </row>
    <row r="25" spans="1:29" ht="15.75" x14ac:dyDescent="0.2">
      <c r="A25" s="747"/>
      <c r="B25" s="818" t="s">
        <v>403</v>
      </c>
      <c r="C25" s="818"/>
      <c r="D25" s="796">
        <v>67</v>
      </c>
      <c r="E25" s="797">
        <v>774</v>
      </c>
      <c r="F25" s="795">
        <f t="shared" si="0"/>
        <v>51858</v>
      </c>
      <c r="G25" s="747"/>
      <c r="H25" s="747"/>
      <c r="I25" s="747"/>
      <c r="J25" s="763"/>
      <c r="K25" s="747"/>
      <c r="L25" s="747"/>
      <c r="M25" s="747"/>
      <c r="N25" s="747"/>
      <c r="O25" s="747"/>
      <c r="P25" s="747"/>
      <c r="Q25" s="747"/>
      <c r="R25" s="747"/>
      <c r="S25" s="747" t="s">
        <v>323</v>
      </c>
      <c r="T25" s="747" t="s">
        <v>324</v>
      </c>
      <c r="U25" s="747" t="s">
        <v>325</v>
      </c>
      <c r="V25" s="747"/>
      <c r="W25" s="747"/>
      <c r="X25" s="747"/>
      <c r="Y25" s="747"/>
      <c r="Z25" s="747"/>
      <c r="AA25" s="747"/>
      <c r="AB25" s="747"/>
      <c r="AC25" s="747"/>
    </row>
    <row r="26" spans="1:29" ht="15.75" x14ac:dyDescent="0.2">
      <c r="A26" s="747"/>
      <c r="B26" s="819" t="s">
        <v>404</v>
      </c>
      <c r="C26" s="819"/>
      <c r="D26" s="798">
        <f>SUM(D21:D25)</f>
        <v>607</v>
      </c>
      <c r="E26" s="795"/>
      <c r="F26" s="795">
        <f>SUM(F21:F25)</f>
        <v>503238</v>
      </c>
      <c r="G26" s="747"/>
      <c r="H26" s="747"/>
      <c r="I26" s="747"/>
      <c r="J26" s="763"/>
      <c r="K26" s="747"/>
      <c r="L26" s="747"/>
      <c r="M26" s="747"/>
      <c r="N26" s="747"/>
      <c r="O26" s="747"/>
      <c r="P26" s="747"/>
      <c r="Q26" s="747"/>
      <c r="R26" s="747"/>
      <c r="S26" s="763">
        <f>S21+(T21-S21)/10*G7</f>
        <v>446.54433719999997</v>
      </c>
      <c r="T26" s="763">
        <f>T21+(U21-T21)/10*G7</f>
        <v>481.83411760000001</v>
      </c>
      <c r="U26" s="763"/>
      <c r="V26" s="747"/>
      <c r="W26" s="747"/>
      <c r="X26" s="747"/>
      <c r="Y26" s="747"/>
      <c r="Z26" s="747"/>
      <c r="AA26" s="747"/>
      <c r="AB26" s="747"/>
      <c r="AC26" s="747"/>
    </row>
    <row r="27" spans="1:29" ht="16.5" thickBot="1" x14ac:dyDescent="0.25">
      <c r="A27" s="747"/>
      <c r="B27" s="820" t="s">
        <v>405</v>
      </c>
      <c r="C27" s="820"/>
      <c r="D27" s="799">
        <f>D26-D25</f>
        <v>540</v>
      </c>
      <c r="E27" s="800"/>
      <c r="F27" s="800">
        <f>F26-F25</f>
        <v>451380</v>
      </c>
      <c r="G27" s="747"/>
      <c r="H27" s="747"/>
      <c r="I27" s="747"/>
      <c r="J27" s="747"/>
      <c r="K27" s="747"/>
      <c r="L27" s="747"/>
      <c r="M27" s="747"/>
      <c r="N27" s="747"/>
      <c r="O27" s="747"/>
      <c r="P27" s="747"/>
      <c r="Q27" s="747"/>
      <c r="R27" s="747"/>
      <c r="S27" s="763"/>
      <c r="T27" s="763"/>
      <c r="U27" s="763" t="s">
        <v>391</v>
      </c>
      <c r="V27" s="747" t="s">
        <v>380</v>
      </c>
      <c r="W27" s="747"/>
      <c r="X27" s="747"/>
      <c r="Y27" s="747"/>
      <c r="Z27" s="747"/>
      <c r="AA27" s="747"/>
      <c r="AB27" s="747"/>
      <c r="AC27" s="747"/>
    </row>
    <row r="28" spans="1:29" ht="20.25" thickTop="1" thickBot="1" x14ac:dyDescent="0.25">
      <c r="A28" s="747"/>
      <c r="B28" s="821" t="s">
        <v>406</v>
      </c>
      <c r="C28" s="822"/>
      <c r="D28" s="822"/>
      <c r="E28" s="822"/>
      <c r="F28" s="823"/>
      <c r="G28" s="747"/>
      <c r="H28" s="747"/>
      <c r="I28" s="747"/>
      <c r="J28" s="747"/>
      <c r="K28" s="747"/>
      <c r="L28" s="747"/>
      <c r="M28" s="747"/>
      <c r="N28" s="747"/>
      <c r="O28" s="747"/>
      <c r="P28" s="747"/>
      <c r="Q28" s="747"/>
      <c r="R28" s="747" t="s">
        <v>323</v>
      </c>
      <c r="S28" s="786">
        <f>IF(D7&lt;=2000,S26,T26)</f>
        <v>446.54433719999997</v>
      </c>
      <c r="T28" s="763"/>
      <c r="U28" s="763">
        <f>S28</f>
        <v>446.54433719999997</v>
      </c>
      <c r="V28" s="763">
        <f>U28*1.2</f>
        <v>535.85320463999994</v>
      </c>
      <c r="W28" s="747"/>
      <c r="X28" s="747"/>
      <c r="Y28" s="747"/>
      <c r="Z28" s="747"/>
      <c r="AA28" s="747"/>
      <c r="AB28" s="747"/>
      <c r="AC28" s="747"/>
    </row>
    <row r="29" spans="1:29" ht="20.25" thickTop="1" thickBot="1" x14ac:dyDescent="0.35">
      <c r="A29" s="747"/>
      <c r="B29" s="824" t="s">
        <v>407</v>
      </c>
      <c r="C29" s="825"/>
      <c r="D29" s="826"/>
      <c r="E29" s="801">
        <f>F26/D26</f>
        <v>829.0576606260297</v>
      </c>
      <c r="F29" s="802"/>
      <c r="G29" s="747"/>
      <c r="H29" s="747"/>
      <c r="I29" s="747"/>
      <c r="J29" s="747"/>
      <c r="K29" s="747"/>
      <c r="L29" s="747"/>
      <c r="M29" s="747"/>
      <c r="N29" s="747"/>
      <c r="O29" s="747"/>
      <c r="P29" s="747"/>
      <c r="Q29" s="747"/>
      <c r="R29" s="747" t="s">
        <v>324</v>
      </c>
      <c r="S29" s="763"/>
      <c r="T29" s="763"/>
      <c r="U29" s="747"/>
      <c r="V29" s="747"/>
      <c r="W29" s="747"/>
      <c r="X29" s="747"/>
      <c r="Y29" s="747"/>
      <c r="Z29" s="747"/>
      <c r="AA29" s="747"/>
      <c r="AB29" s="747"/>
      <c r="AC29" s="747"/>
    </row>
    <row r="30" spans="1:29" ht="19.5" thickBot="1" x14ac:dyDescent="0.25">
      <c r="A30" s="747"/>
      <c r="B30" s="813" t="s">
        <v>408</v>
      </c>
      <c r="C30" s="814"/>
      <c r="D30" s="815"/>
      <c r="E30" s="803">
        <f>F27/D27</f>
        <v>835.88888888888891</v>
      </c>
      <c r="F30" s="804"/>
      <c r="G30" s="747"/>
      <c r="H30" s="747"/>
      <c r="I30" s="747"/>
      <c r="J30" s="747"/>
      <c r="K30" s="747"/>
      <c r="L30" s="747"/>
      <c r="M30" s="747"/>
      <c r="N30" s="747"/>
      <c r="O30" s="747"/>
      <c r="P30" s="747"/>
      <c r="Q30" s="747"/>
      <c r="R30" s="747"/>
      <c r="S30" s="747"/>
      <c r="T30" s="747"/>
      <c r="U30" s="747"/>
      <c r="V30" s="763">
        <f>V28*1.4</f>
        <v>750.19448649599985</v>
      </c>
      <c r="W30" s="747"/>
      <c r="X30" s="747"/>
      <c r="Y30" s="747"/>
      <c r="Z30" s="747"/>
      <c r="AA30" s="747"/>
      <c r="AB30" s="747"/>
      <c r="AC30" s="747"/>
    </row>
    <row r="31" spans="1:29" ht="15.75" x14ac:dyDescent="0.2">
      <c r="A31" s="747"/>
      <c r="G31" s="747"/>
      <c r="H31" s="747"/>
      <c r="I31" s="747"/>
      <c r="J31" s="747"/>
      <c r="K31" s="747"/>
      <c r="L31" s="747"/>
      <c r="M31" s="747"/>
      <c r="N31" s="747"/>
      <c r="O31" s="747"/>
      <c r="P31" s="747"/>
      <c r="Q31" s="747"/>
      <c r="R31" s="747"/>
      <c r="S31" s="747"/>
      <c r="T31" s="747"/>
      <c r="U31" s="747"/>
      <c r="V31" s="747"/>
      <c r="W31" s="747"/>
      <c r="X31" s="747"/>
      <c r="Y31" s="747"/>
      <c r="Z31" s="747"/>
      <c r="AA31" s="747"/>
      <c r="AB31" s="747"/>
      <c r="AC31" s="747"/>
    </row>
    <row r="32" spans="1:29" ht="15.75" x14ac:dyDescent="0.2">
      <c r="A32" s="805" t="s">
        <v>409</v>
      </c>
      <c r="G32" s="747"/>
      <c r="H32" s="747"/>
      <c r="I32" s="747"/>
      <c r="J32" s="747"/>
      <c r="K32" s="747"/>
      <c r="L32" s="747"/>
      <c r="M32" s="747"/>
      <c r="N32" s="747"/>
      <c r="O32" s="747"/>
      <c r="P32" s="747"/>
      <c r="Q32" s="747"/>
      <c r="R32" s="747"/>
      <c r="S32" s="747"/>
      <c r="T32" s="747"/>
      <c r="U32" s="747"/>
      <c r="V32" s="747"/>
      <c r="W32" s="747"/>
      <c r="X32" s="747"/>
      <c r="Y32" s="747"/>
      <c r="Z32" s="747"/>
      <c r="AA32" s="747"/>
      <c r="AB32" s="747"/>
      <c r="AC32" s="747"/>
    </row>
    <row r="33" spans="1:29" ht="15.75" x14ac:dyDescent="0.25">
      <c r="A33" s="806" t="s">
        <v>410</v>
      </c>
      <c r="H33" s="747"/>
      <c r="I33" s="747"/>
      <c r="J33" s="747"/>
      <c r="K33" s="747"/>
      <c r="L33" s="747"/>
      <c r="M33" s="747"/>
      <c r="N33" s="747"/>
      <c r="O33" s="747"/>
      <c r="P33" s="747"/>
      <c r="Q33" s="747"/>
      <c r="R33" s="747"/>
      <c r="S33" s="747"/>
      <c r="T33" s="747"/>
      <c r="U33" s="747"/>
      <c r="V33" s="747"/>
      <c r="W33" s="747"/>
      <c r="X33" s="747"/>
      <c r="Y33" s="747"/>
      <c r="Z33" s="747"/>
      <c r="AA33" s="747"/>
      <c r="AB33" s="747"/>
      <c r="AC33" s="747"/>
    </row>
    <row r="34" spans="1:29" ht="22.5" x14ac:dyDescent="0.25">
      <c r="A34" s="806" t="s">
        <v>411</v>
      </c>
      <c r="E34" s="807" t="s">
        <v>412</v>
      </c>
      <c r="H34" s="747"/>
      <c r="I34" s="807" t="s">
        <v>413</v>
      </c>
      <c r="J34" s="747"/>
      <c r="K34" s="747"/>
      <c r="L34" s="747"/>
      <c r="M34" s="747"/>
      <c r="N34" s="747"/>
      <c r="O34" s="747"/>
      <c r="P34" s="747"/>
      <c r="Q34" s="747"/>
      <c r="R34" s="747"/>
      <c r="S34" s="747"/>
      <c r="T34" s="747"/>
      <c r="U34" s="747"/>
      <c r="V34" s="747"/>
      <c r="W34" s="747"/>
      <c r="X34" s="747"/>
      <c r="Y34" s="747"/>
      <c r="Z34" s="747"/>
      <c r="AA34" s="747"/>
      <c r="AB34" s="747"/>
      <c r="AC34" s="747"/>
    </row>
    <row r="35" spans="1:29" ht="15.75" x14ac:dyDescent="0.25">
      <c r="A35" s="806" t="s">
        <v>414</v>
      </c>
      <c r="H35" s="747"/>
      <c r="I35" s="747"/>
      <c r="J35" s="747"/>
      <c r="K35" s="747"/>
      <c r="L35" s="747"/>
      <c r="M35" s="808"/>
      <c r="N35" s="747"/>
      <c r="O35" s="747"/>
      <c r="P35" s="747"/>
      <c r="Q35" s="747"/>
      <c r="R35" s="747"/>
      <c r="S35" s="747"/>
      <c r="T35" s="747"/>
      <c r="U35" s="747"/>
      <c r="V35" s="747"/>
      <c r="W35" s="747"/>
      <c r="X35" s="747"/>
      <c r="Y35" s="747"/>
      <c r="Z35" s="747"/>
      <c r="AA35" s="747"/>
      <c r="AB35" s="747"/>
      <c r="AC35" s="747"/>
    </row>
    <row r="36" spans="1:29" ht="22.5" x14ac:dyDescent="0.25">
      <c r="A36" s="806" t="s">
        <v>415</v>
      </c>
      <c r="B36" s="809" t="s">
        <v>416</v>
      </c>
      <c r="H36" s="747"/>
      <c r="I36" s="747"/>
      <c r="J36" s="747"/>
      <c r="K36" s="747"/>
      <c r="L36" s="747"/>
      <c r="M36" s="747"/>
      <c r="N36" s="747"/>
      <c r="O36" s="747"/>
      <c r="P36" s="747"/>
      <c r="Q36" s="747"/>
      <c r="R36" s="747"/>
      <c r="S36" s="747"/>
      <c r="T36" s="747"/>
      <c r="U36" s="747"/>
      <c r="V36" s="747"/>
      <c r="W36" s="747"/>
      <c r="X36" s="747"/>
      <c r="Y36" s="747"/>
      <c r="Z36" s="747"/>
      <c r="AA36" s="747"/>
      <c r="AB36" s="747"/>
      <c r="AC36" s="747"/>
    </row>
    <row r="37" spans="1:29" ht="15.75" x14ac:dyDescent="0.25">
      <c r="A37" s="806" t="s">
        <v>417</v>
      </c>
      <c r="H37" s="747"/>
      <c r="I37" s="747"/>
      <c r="J37" s="747"/>
      <c r="K37" s="747"/>
      <c r="L37" s="747"/>
      <c r="M37" s="747"/>
      <c r="N37" s="747"/>
      <c r="O37" s="747"/>
      <c r="P37" s="747"/>
      <c r="Q37" s="747"/>
      <c r="R37" s="747"/>
      <c r="S37" s="747"/>
      <c r="T37" s="747"/>
      <c r="U37" s="747"/>
      <c r="V37" s="747"/>
      <c r="W37" s="747"/>
      <c r="X37" s="747"/>
      <c r="Y37" s="747"/>
      <c r="Z37" s="747"/>
      <c r="AA37" s="747"/>
      <c r="AB37" s="747"/>
      <c r="AC37" s="747"/>
    </row>
    <row r="38" spans="1:29" ht="23.25" x14ac:dyDescent="0.25">
      <c r="A38" s="806" t="s">
        <v>418</v>
      </c>
      <c r="B38" s="810" t="s">
        <v>416</v>
      </c>
      <c r="H38" s="747"/>
      <c r="I38" s="807" t="s">
        <v>419</v>
      </c>
      <c r="J38" s="747"/>
      <c r="K38" s="747"/>
      <c r="L38" s="747"/>
      <c r="M38" s="747"/>
      <c r="N38" s="747"/>
      <c r="O38" s="747"/>
      <c r="P38" s="747"/>
      <c r="Q38" s="747"/>
      <c r="R38" s="747"/>
      <c r="S38" s="747"/>
      <c r="T38" s="747"/>
      <c r="U38" s="747"/>
      <c r="V38" s="747"/>
      <c r="W38" s="747"/>
      <c r="X38" s="747"/>
      <c r="Y38" s="747"/>
      <c r="Z38" s="747"/>
      <c r="AA38" s="747"/>
      <c r="AB38" s="747"/>
      <c r="AC38" s="747"/>
    </row>
    <row r="39" spans="1:29" ht="15.75" x14ac:dyDescent="0.25">
      <c r="A39" s="805"/>
      <c r="B39" s="816">
        <v>740</v>
      </c>
      <c r="C39" s="816"/>
      <c r="E39" s="816">
        <v>800</v>
      </c>
      <c r="F39" s="816"/>
      <c r="G39" s="816">
        <v>840</v>
      </c>
      <c r="H39" s="816"/>
      <c r="I39" s="811" t="s">
        <v>420</v>
      </c>
      <c r="J39" s="812" t="s">
        <v>420</v>
      </c>
      <c r="K39" s="747"/>
      <c r="L39" s="747"/>
      <c r="M39" s="747"/>
      <c r="N39" s="747"/>
      <c r="O39" s="747"/>
      <c r="P39" s="747"/>
      <c r="Q39" s="747"/>
      <c r="R39" s="747"/>
      <c r="S39" s="747"/>
      <c r="T39" s="747"/>
      <c r="U39" s="747"/>
      <c r="V39" s="747"/>
      <c r="W39" s="747"/>
      <c r="X39" s="747"/>
      <c r="Y39" s="747"/>
      <c r="Z39" s="747"/>
      <c r="AA39" s="747"/>
      <c r="AB39" s="747"/>
      <c r="AC39" s="747"/>
    </row>
    <row r="40" spans="1:29" ht="15.75" x14ac:dyDescent="0.2">
      <c r="A40" s="817">
        <v>720</v>
      </c>
      <c r="B40" s="817"/>
      <c r="C40" s="817" t="s">
        <v>421</v>
      </c>
      <c r="D40" s="817"/>
      <c r="E40" s="817"/>
      <c r="F40" s="817">
        <v>820</v>
      </c>
      <c r="G40" s="817"/>
      <c r="H40" s="817">
        <v>860</v>
      </c>
      <c r="I40" s="817"/>
      <c r="J40" s="747"/>
      <c r="K40" s="747"/>
      <c r="L40" s="747"/>
      <c r="M40" s="747"/>
      <c r="N40" s="747"/>
      <c r="O40" s="747"/>
      <c r="P40" s="747"/>
      <c r="Q40" s="747"/>
      <c r="R40" s="747"/>
      <c r="S40" s="747"/>
      <c r="T40" s="747"/>
      <c r="U40" s="747"/>
      <c r="V40" s="747"/>
      <c r="W40" s="747"/>
      <c r="X40" s="747"/>
      <c r="Y40" s="747"/>
      <c r="Z40" s="747"/>
      <c r="AA40" s="747"/>
      <c r="AB40" s="747"/>
      <c r="AC40" s="747"/>
    </row>
    <row r="41" spans="1:29" ht="15.75" x14ac:dyDescent="0.2">
      <c r="A41" s="747"/>
      <c r="B41" s="747"/>
      <c r="C41" s="747"/>
      <c r="D41" s="747"/>
      <c r="E41" s="747"/>
      <c r="F41" s="747"/>
      <c r="G41" s="747"/>
      <c r="H41" s="747"/>
      <c r="I41" s="747"/>
      <c r="J41" s="747"/>
      <c r="K41" s="747"/>
      <c r="L41" s="747"/>
      <c r="M41" s="747"/>
      <c r="N41" s="747"/>
      <c r="O41" s="747"/>
      <c r="P41" s="747"/>
      <c r="Q41" s="747"/>
      <c r="R41" s="747"/>
      <c r="S41" s="747"/>
      <c r="T41" s="747"/>
      <c r="U41" s="747"/>
      <c r="V41" s="747"/>
      <c r="W41" s="747"/>
      <c r="X41" s="747"/>
      <c r="Y41" s="747"/>
      <c r="Z41" s="747"/>
      <c r="AA41" s="747"/>
      <c r="AB41" s="747"/>
      <c r="AC41" s="747"/>
    </row>
  </sheetData>
  <mergeCells count="45">
    <mergeCell ref="B1:D1"/>
    <mergeCell ref="J1:P1"/>
    <mergeCell ref="K2:L2"/>
    <mergeCell ref="M2:N2"/>
    <mergeCell ref="O2:P2"/>
    <mergeCell ref="B12:D12"/>
    <mergeCell ref="X2:AA2"/>
    <mergeCell ref="B3:C3"/>
    <mergeCell ref="E3:F3"/>
    <mergeCell ref="B5:C5"/>
    <mergeCell ref="E5:F5"/>
    <mergeCell ref="B7:C7"/>
    <mergeCell ref="E7:F7"/>
    <mergeCell ref="R2:U2"/>
    <mergeCell ref="B9:C9"/>
    <mergeCell ref="D9:E9"/>
    <mergeCell ref="C10:F10"/>
    <mergeCell ref="E11:F11"/>
    <mergeCell ref="G11:H11"/>
    <mergeCell ref="B13:D13"/>
    <mergeCell ref="J13:P13"/>
    <mergeCell ref="B14:D14"/>
    <mergeCell ref="K14:L14"/>
    <mergeCell ref="M14:N14"/>
    <mergeCell ref="O14:P14"/>
    <mergeCell ref="B29:D29"/>
    <mergeCell ref="C16:E16"/>
    <mergeCell ref="D18:F18"/>
    <mergeCell ref="R19:U19"/>
    <mergeCell ref="B21:C21"/>
    <mergeCell ref="B22:C22"/>
    <mergeCell ref="B23:C23"/>
    <mergeCell ref="B24:C24"/>
    <mergeCell ref="B25:C25"/>
    <mergeCell ref="B26:C26"/>
    <mergeCell ref="B27:C27"/>
    <mergeCell ref="B28:F28"/>
    <mergeCell ref="B30:D30"/>
    <mergeCell ref="B39:C39"/>
    <mergeCell ref="E39:F39"/>
    <mergeCell ref="G39:H39"/>
    <mergeCell ref="A40:B40"/>
    <mergeCell ref="C40:E40"/>
    <mergeCell ref="F40:G40"/>
    <mergeCell ref="H40:I4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226C8-FFF4-492E-BF59-D394A0D6C1DC}">
  <dimension ref="B1:P93"/>
  <sheetViews>
    <sheetView workbookViewId="0"/>
  </sheetViews>
  <sheetFormatPr baseColWidth="10" defaultColWidth="10.7109375" defaultRowHeight="12.75" x14ac:dyDescent="0.2"/>
  <cols>
    <col min="1" max="1" width="4.7109375" style="1" customWidth="1"/>
    <col min="2" max="4" width="11.42578125" style="1" customWidth="1"/>
    <col min="5" max="6" width="4.7109375" style="1" customWidth="1"/>
    <col min="7" max="15" width="10.7109375" style="1" customWidth="1"/>
    <col min="16" max="16384" width="10.7109375" style="1"/>
  </cols>
  <sheetData>
    <row r="1" spans="2:16" ht="24.95" customHeight="1" thickTop="1" thickBot="1" x14ac:dyDescent="0.25">
      <c r="B1" s="905" t="s">
        <v>80</v>
      </c>
      <c r="C1" s="906"/>
      <c r="D1" s="907"/>
      <c r="G1" s="985" t="s">
        <v>362</v>
      </c>
      <c r="H1" s="959"/>
      <c r="I1" s="982" t="s">
        <v>306</v>
      </c>
      <c r="J1" s="982"/>
      <c r="K1" s="982" t="s">
        <v>345</v>
      </c>
      <c r="L1" s="982"/>
      <c r="M1" s="982" t="s">
        <v>334</v>
      </c>
      <c r="N1" s="982"/>
    </row>
    <row r="2" spans="2:16" ht="15" customHeight="1" thickTop="1" thickBot="1" x14ac:dyDescent="0.25">
      <c r="B2" s="33"/>
      <c r="D2" s="34"/>
      <c r="I2" s="983" t="s">
        <v>65</v>
      </c>
      <c r="J2" s="984"/>
      <c r="K2" s="983" t="s">
        <v>170</v>
      </c>
      <c r="L2" s="984"/>
      <c r="M2" s="983" t="s">
        <v>346</v>
      </c>
      <c r="N2" s="983"/>
    </row>
    <row r="3" spans="2:16" ht="15" customHeight="1" thickBot="1" x14ac:dyDescent="0.25">
      <c r="B3" s="61" t="s">
        <v>81</v>
      </c>
      <c r="C3" s="56" t="s">
        <v>356</v>
      </c>
      <c r="D3" s="34"/>
      <c r="G3" s="986" t="s">
        <v>352</v>
      </c>
      <c r="H3" s="987"/>
      <c r="O3" s="988"/>
      <c r="P3" s="988"/>
    </row>
    <row r="4" spans="2:16" ht="15" customHeight="1" thickBot="1" x14ac:dyDescent="0.25">
      <c r="B4" s="33"/>
      <c r="D4" s="34"/>
      <c r="G4" s="989" t="s">
        <v>347</v>
      </c>
      <c r="H4" s="990"/>
      <c r="I4" s="989">
        <v>128.1</v>
      </c>
      <c r="J4" s="990"/>
      <c r="K4" s="989">
        <v>0.92</v>
      </c>
      <c r="L4" s="990"/>
      <c r="M4" s="989">
        <f>I4*K4</f>
        <v>117.852</v>
      </c>
      <c r="N4" s="990"/>
    </row>
    <row r="5" spans="2:16" ht="15" customHeight="1" thickBot="1" x14ac:dyDescent="0.25">
      <c r="B5" s="89" t="s">
        <v>82</v>
      </c>
      <c r="C5" s="726">
        <v>299.5</v>
      </c>
      <c r="D5" s="44" t="s">
        <v>65</v>
      </c>
      <c r="G5" s="743"/>
      <c r="H5" s="743"/>
      <c r="I5" s="743"/>
      <c r="J5" s="743"/>
      <c r="K5" s="743"/>
      <c r="L5" s="743"/>
      <c r="M5" s="743"/>
      <c r="N5" s="743"/>
      <c r="O5" s="2"/>
    </row>
    <row r="6" spans="2:16" ht="15" customHeight="1" thickBot="1" x14ac:dyDescent="0.25">
      <c r="B6" s="738" t="s">
        <v>361</v>
      </c>
      <c r="C6" s="739">
        <v>22.5</v>
      </c>
      <c r="D6" s="44" t="s">
        <v>65</v>
      </c>
      <c r="G6" s="989" t="s">
        <v>348</v>
      </c>
      <c r="H6" s="990"/>
      <c r="I6" s="989">
        <v>128.1</v>
      </c>
      <c r="J6" s="990"/>
      <c r="K6" s="989">
        <v>0.92</v>
      </c>
      <c r="L6" s="990"/>
      <c r="M6" s="989">
        <f>I6*K6</f>
        <v>117.852</v>
      </c>
      <c r="N6" s="990"/>
      <c r="P6" s="737" t="s">
        <v>4</v>
      </c>
    </row>
    <row r="7" spans="2:16" ht="15" customHeight="1" x14ac:dyDescent="0.2">
      <c r="B7" s="89" t="s">
        <v>83</v>
      </c>
      <c r="C7" s="740">
        <v>95</v>
      </c>
      <c r="D7" s="44" t="s">
        <v>65</v>
      </c>
      <c r="G7" s="744"/>
      <c r="H7" s="744"/>
      <c r="I7" s="744"/>
      <c r="J7" s="744"/>
      <c r="K7" s="744"/>
      <c r="L7" s="744"/>
      <c r="M7" s="744"/>
      <c r="N7" s="744"/>
    </row>
    <row r="8" spans="2:16" ht="15" customHeight="1" thickBot="1" x14ac:dyDescent="0.25">
      <c r="B8" s="89" t="s">
        <v>285</v>
      </c>
      <c r="C8" s="741">
        <v>0</v>
      </c>
      <c r="D8" s="44" t="s">
        <v>65</v>
      </c>
      <c r="G8" s="989" t="s">
        <v>349</v>
      </c>
      <c r="H8" s="990"/>
      <c r="I8" s="989">
        <v>43.3</v>
      </c>
      <c r="J8" s="990"/>
      <c r="K8" s="989">
        <v>-0.32</v>
      </c>
      <c r="L8" s="990"/>
      <c r="M8" s="989">
        <f>I8*K8</f>
        <v>-13.856</v>
      </c>
      <c r="N8" s="990"/>
    </row>
    <row r="9" spans="2:16" ht="15" customHeight="1" thickBot="1" x14ac:dyDescent="0.25">
      <c r="B9" s="62"/>
      <c r="C9" s="727"/>
      <c r="D9" s="44"/>
      <c r="I9" s="744"/>
      <c r="J9" s="744"/>
      <c r="K9" s="744"/>
      <c r="L9" s="744"/>
      <c r="M9" s="744"/>
      <c r="N9" s="744"/>
    </row>
    <row r="10" spans="2:16" ht="15" customHeight="1" thickBot="1" x14ac:dyDescent="0.25">
      <c r="B10" s="89" t="s">
        <v>86</v>
      </c>
      <c r="C10" s="742">
        <v>5</v>
      </c>
      <c r="D10" s="44" t="s">
        <v>65</v>
      </c>
      <c r="G10" s="991" t="s">
        <v>82</v>
      </c>
      <c r="H10" s="992"/>
      <c r="I10" s="991">
        <f>SUM(I4:J8)</f>
        <v>299.5</v>
      </c>
      <c r="J10" s="993"/>
      <c r="K10" s="994">
        <f>M10/I10</f>
        <v>0.74072787979966614</v>
      </c>
      <c r="L10" s="994"/>
      <c r="M10" s="991">
        <f>SUM(M4:N8)</f>
        <v>221.84800000000001</v>
      </c>
      <c r="N10" s="993"/>
    </row>
    <row r="11" spans="2:16" ht="15" customHeight="1" x14ac:dyDescent="0.2">
      <c r="B11" s="62"/>
      <c r="C11" s="727"/>
      <c r="D11" s="44"/>
      <c r="G11" s="2"/>
      <c r="H11" s="2"/>
      <c r="I11" s="743"/>
      <c r="J11" s="743"/>
      <c r="K11" s="743"/>
      <c r="L11" s="743"/>
      <c r="M11" s="743"/>
      <c r="N11" s="743"/>
    </row>
    <row r="12" spans="2:16" ht="15" customHeight="1" x14ac:dyDescent="0.2">
      <c r="B12" s="62"/>
      <c r="C12" s="58" t="s">
        <v>87</v>
      </c>
      <c r="D12" s="44"/>
      <c r="G12" s="989" t="s">
        <v>335</v>
      </c>
      <c r="H12" s="990"/>
      <c r="I12" s="989">
        <f>C7+C8</f>
        <v>95</v>
      </c>
      <c r="J12" s="990"/>
      <c r="K12" s="995">
        <v>1.1000000000000001</v>
      </c>
      <c r="L12" s="996"/>
      <c r="M12" s="989">
        <f>I12*K12</f>
        <v>104.50000000000001</v>
      </c>
      <c r="N12" s="990"/>
    </row>
    <row r="13" spans="2:16" ht="15" customHeight="1" thickBot="1" x14ac:dyDescent="0.25">
      <c r="B13" s="62"/>
      <c r="C13" s="725">
        <v>28</v>
      </c>
      <c r="D13" s="44" t="s">
        <v>88</v>
      </c>
      <c r="I13" s="744"/>
      <c r="J13" s="744"/>
      <c r="K13" s="744"/>
      <c r="L13" s="744"/>
      <c r="M13" s="744"/>
      <c r="N13" s="744"/>
    </row>
    <row r="14" spans="2:16" ht="15" customHeight="1" thickBot="1" x14ac:dyDescent="0.25">
      <c r="B14" s="62"/>
      <c r="C14" s="724">
        <f>C13*0.72</f>
        <v>20.16</v>
      </c>
      <c r="D14" s="714" t="s">
        <v>65</v>
      </c>
      <c r="G14" s="989" t="s">
        <v>86</v>
      </c>
      <c r="H14" s="990"/>
      <c r="I14" s="989">
        <f>C10</f>
        <v>5</v>
      </c>
      <c r="J14" s="990"/>
      <c r="K14" s="995">
        <v>2</v>
      </c>
      <c r="L14" s="996"/>
      <c r="M14" s="989">
        <f>I14*K14</f>
        <v>10</v>
      </c>
      <c r="N14" s="990"/>
    </row>
    <row r="15" spans="2:16" ht="24.95" customHeight="1" thickBot="1" x14ac:dyDescent="0.25">
      <c r="B15" s="62"/>
      <c r="C15" s="87"/>
      <c r="D15" s="59" t="str">
        <f>IF(C15&gt;40,"max 40 Li","")</f>
        <v/>
      </c>
      <c r="I15" s="744"/>
      <c r="J15" s="744"/>
      <c r="K15" s="744"/>
      <c r="L15" s="744"/>
      <c r="M15" s="744"/>
      <c r="N15" s="744"/>
    </row>
    <row r="16" spans="2:16" ht="15" customHeight="1" thickBot="1" x14ac:dyDescent="0.25">
      <c r="B16" s="395" t="s">
        <v>93</v>
      </c>
      <c r="C16" s="88">
        <f>C5+C7+C8+C10+C14</f>
        <v>419.66</v>
      </c>
      <c r="D16" s="55" t="s">
        <v>65</v>
      </c>
      <c r="G16" s="989" t="s">
        <v>350</v>
      </c>
      <c r="H16" s="990"/>
      <c r="I16" s="989">
        <f>C14</f>
        <v>20.16</v>
      </c>
      <c r="J16" s="990"/>
      <c r="K16" s="989">
        <v>0.25</v>
      </c>
      <c r="L16" s="990"/>
      <c r="M16" s="989">
        <f>I16*K16</f>
        <v>5.04</v>
      </c>
      <c r="N16" s="990"/>
    </row>
    <row r="17" spans="2:14" ht="24.95" customHeight="1" x14ac:dyDescent="0.2">
      <c r="B17" s="1011" t="str">
        <f>IF(C16&gt;472.5,"Vérifier le chargement,      masse Toff&gt;472,5 kg","")</f>
        <v/>
      </c>
      <c r="C17" s="1012"/>
      <c r="D17" s="1013"/>
      <c r="I17" s="744"/>
      <c r="J17" s="744"/>
      <c r="K17" s="744"/>
      <c r="L17" s="744"/>
      <c r="M17" s="744"/>
      <c r="N17" s="744"/>
    </row>
    <row r="18" spans="2:14" ht="15" customHeight="1" thickBot="1" x14ac:dyDescent="0.25">
      <c r="B18" s="61"/>
      <c r="C18" s="716"/>
      <c r="D18" s="630"/>
      <c r="G18" s="997" t="s">
        <v>351</v>
      </c>
      <c r="H18" s="998"/>
      <c r="I18" s="997">
        <f>I10+I12+I14+I16</f>
        <v>419.66</v>
      </c>
      <c r="J18" s="998"/>
      <c r="K18" s="1014">
        <f>M18/I18</f>
        <v>0.81348710861173334</v>
      </c>
      <c r="L18" s="1015"/>
      <c r="M18" s="997">
        <f>M10+M12+M14+M16</f>
        <v>341.38800000000003</v>
      </c>
      <c r="N18" s="998"/>
    </row>
    <row r="19" spans="2:14" ht="15" customHeight="1" thickBot="1" x14ac:dyDescent="0.25">
      <c r="B19" s="61" t="s">
        <v>287</v>
      </c>
      <c r="C19" s="629">
        <f>K18</f>
        <v>0.81348710861173334</v>
      </c>
      <c r="D19" s="630"/>
      <c r="G19" s="745"/>
      <c r="H19" s="745"/>
      <c r="I19" s="745"/>
      <c r="J19" s="745"/>
      <c r="K19" s="746"/>
      <c r="L19" s="746"/>
      <c r="M19" s="745"/>
      <c r="N19" s="745"/>
    </row>
    <row r="20" spans="2:14" ht="24.95" customHeight="1" thickTop="1" thickBot="1" x14ac:dyDescent="0.25">
      <c r="B20" s="999" t="str">
        <f>IF(K18&lt;0.72,"Centrage hors limite avant",IF(K18&gt;0.82,"Centrage hors limite arrière","CENTRAGE CORRECT"))</f>
        <v>CENTRAGE CORRECT</v>
      </c>
      <c r="C20" s="1000"/>
      <c r="D20" s="1001"/>
      <c r="G20" s="1002" t="s">
        <v>357</v>
      </c>
      <c r="H20" s="1003"/>
      <c r="I20" s="1004">
        <v>472.5</v>
      </c>
      <c r="J20" s="1005"/>
      <c r="K20" s="1006"/>
      <c r="L20" s="1007"/>
    </row>
    <row r="21" spans="2:14" ht="26.25" customHeight="1" thickTop="1" thickBot="1" x14ac:dyDescent="0.25">
      <c r="B21" s="718"/>
      <c r="C21" s="719"/>
      <c r="D21" s="720"/>
      <c r="I21" s="1008" t="s">
        <v>358</v>
      </c>
      <c r="J21" s="1008"/>
      <c r="K21" s="1009">
        <f>K18</f>
        <v>0.81348710861173334</v>
      </c>
      <c r="L21" s="1010"/>
    </row>
    <row r="22" spans="2:14" ht="15" customHeight="1" x14ac:dyDescent="0.2">
      <c r="B22" s="8"/>
      <c r="D22" s="721"/>
    </row>
    <row r="23" spans="2:14" ht="15" customHeight="1" x14ac:dyDescent="0.2">
      <c r="B23" s="722"/>
      <c r="C23" s="715"/>
      <c r="D23" s="723"/>
    </row>
    <row r="24" spans="2:14" ht="24.95" customHeight="1" x14ac:dyDescent="0.2">
      <c r="C24" s="60" t="str">
        <f>IF(C23&gt;900,"max 900 Kg","")</f>
        <v/>
      </c>
    </row>
    <row r="25" spans="2:14" ht="15" customHeight="1" x14ac:dyDescent="0.2">
      <c r="B25" s="2"/>
      <c r="C25" s="716"/>
      <c r="D25" s="16"/>
    </row>
    <row r="26" spans="2:14" ht="24.95" customHeight="1" x14ac:dyDescent="0.2">
      <c r="C26" s="717"/>
    </row>
    <row r="27" spans="2:14" ht="15" customHeight="1" x14ac:dyDescent="0.2"/>
    <row r="28" spans="2:14" ht="15" customHeight="1" x14ac:dyDescent="0.2"/>
    <row r="29" spans="2:14" ht="15" customHeight="1" x14ac:dyDescent="0.2"/>
    <row r="30" spans="2:14" ht="15" customHeight="1" x14ac:dyDescent="0.2"/>
    <row r="31" spans="2:14" ht="15" customHeight="1" x14ac:dyDescent="0.2"/>
    <row r="32" spans="2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79.5" customHeight="1" x14ac:dyDescent="0.2"/>
  </sheetData>
  <mergeCells count="49">
    <mergeCell ref="I21:J21"/>
    <mergeCell ref="K21:L21"/>
    <mergeCell ref="B17:D17"/>
    <mergeCell ref="G18:H18"/>
    <mergeCell ref="I18:J18"/>
    <mergeCell ref="K18:L18"/>
    <mergeCell ref="M18:N18"/>
    <mergeCell ref="B20:D20"/>
    <mergeCell ref="G20:H20"/>
    <mergeCell ref="I20:J20"/>
    <mergeCell ref="K20:L20"/>
    <mergeCell ref="I16:J16"/>
    <mergeCell ref="K16:L16"/>
    <mergeCell ref="M16:N16"/>
    <mergeCell ref="G10:H10"/>
    <mergeCell ref="I10:J10"/>
    <mergeCell ref="K10:L10"/>
    <mergeCell ref="M10:N10"/>
    <mergeCell ref="G12:H12"/>
    <mergeCell ref="I12:J12"/>
    <mergeCell ref="K12:L12"/>
    <mergeCell ref="G14:H14"/>
    <mergeCell ref="I14:J14"/>
    <mergeCell ref="K14:L14"/>
    <mergeCell ref="M14:N14"/>
    <mergeCell ref="G16:H16"/>
    <mergeCell ref="M12:N12"/>
    <mergeCell ref="G6:H6"/>
    <mergeCell ref="I6:J6"/>
    <mergeCell ref="K6:L6"/>
    <mergeCell ref="M6:N6"/>
    <mergeCell ref="G8:H8"/>
    <mergeCell ref="I8:J8"/>
    <mergeCell ref="K8:L8"/>
    <mergeCell ref="M8:N8"/>
    <mergeCell ref="G3:H3"/>
    <mergeCell ref="O3:P3"/>
    <mergeCell ref="G4:H4"/>
    <mergeCell ref="I4:J4"/>
    <mergeCell ref="K4:L4"/>
    <mergeCell ref="M4:N4"/>
    <mergeCell ref="B1:D1"/>
    <mergeCell ref="I1:J1"/>
    <mergeCell ref="K1:L1"/>
    <mergeCell ref="M1:N1"/>
    <mergeCell ref="I2:J2"/>
    <mergeCell ref="K2:L2"/>
    <mergeCell ref="M2:N2"/>
    <mergeCell ref="G1:H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832E-1C8F-4F4C-8403-B54462E21772}">
  <dimension ref="B1:CF104"/>
  <sheetViews>
    <sheetView workbookViewId="0">
      <selection activeCell="I29" sqref="I29"/>
    </sheetView>
  </sheetViews>
  <sheetFormatPr baseColWidth="10" defaultColWidth="10.7109375" defaultRowHeight="15" customHeight="1" outlineLevelCol="1" x14ac:dyDescent="0.2"/>
  <cols>
    <col min="1" max="1" width="4.7109375" style="1" customWidth="1"/>
    <col min="2" max="4" width="11.42578125" style="1" customWidth="1"/>
    <col min="5" max="5" width="4.7109375" style="1" customWidth="1"/>
    <col min="6" max="6" width="15.7109375" style="1" customWidth="1"/>
    <col min="7" max="7" width="14.42578125" style="1" customWidth="1"/>
    <col min="8" max="8" width="12.7109375" style="1" customWidth="1"/>
    <col min="9" max="9" width="14.7109375" style="1" customWidth="1"/>
    <col min="10" max="10" width="16.42578125" style="1" bestFit="1" customWidth="1"/>
    <col min="11" max="11" width="5.7109375" style="1" customWidth="1"/>
    <col min="12" max="12" width="5.7109375" style="1" customWidth="1" outlineLevel="1"/>
    <col min="13" max="14" width="4.7109375" style="1" customWidth="1" outlineLevel="1"/>
    <col min="15" max="15" width="4.7109375" style="1" hidden="1" customWidth="1" outlineLevel="1"/>
    <col min="16" max="25" width="7.7109375" style="1" hidden="1" customWidth="1" outlineLevel="1"/>
    <col min="26" max="28" width="7.7109375" style="1" hidden="1" customWidth="1"/>
    <col min="29" max="29" width="8" style="1" hidden="1" customWidth="1"/>
    <col min="30" max="43" width="7.7109375" style="1" hidden="1" customWidth="1"/>
    <col min="44" max="44" width="10.7109375" style="1" hidden="1" customWidth="1"/>
    <col min="45" max="46" width="5.5703125" style="1" hidden="1" customWidth="1"/>
    <col min="47" max="54" width="10.7109375" style="1" hidden="1" customWidth="1"/>
    <col min="55" max="56" width="3.7109375" style="1" hidden="1" customWidth="1"/>
    <col min="57" max="62" width="10.7109375" style="1" hidden="1" customWidth="1"/>
    <col min="63" max="63" width="3.5703125" style="1" hidden="1" customWidth="1"/>
    <col min="64" max="64" width="4" style="1" hidden="1" customWidth="1"/>
    <col min="65" max="65" width="4.140625" style="1" hidden="1" customWidth="1"/>
    <col min="66" max="66" width="7.7109375" style="1" hidden="1" customWidth="1"/>
    <col min="67" max="67" width="9.5703125" style="1" hidden="1" customWidth="1"/>
    <col min="68" max="80" width="10.7109375" style="1" hidden="1" customWidth="1"/>
    <col min="81" max="81" width="13.140625" style="1" hidden="1" customWidth="1"/>
    <col min="82" max="84" width="10.7109375" style="1" hidden="1" customWidth="1"/>
    <col min="85" max="16384" width="10.7109375" style="1"/>
  </cols>
  <sheetData>
    <row r="1" spans="2:83" ht="24.95" customHeight="1" thickTop="1" thickBot="1" x14ac:dyDescent="0.25">
      <c r="B1" s="905" t="s">
        <v>80</v>
      </c>
      <c r="C1" s="906"/>
      <c r="D1" s="907"/>
      <c r="F1" s="905" t="s">
        <v>94</v>
      </c>
      <c r="G1" s="906"/>
      <c r="H1" s="906"/>
      <c r="I1" s="906"/>
      <c r="J1" s="906"/>
      <c r="K1" s="906"/>
      <c r="L1" s="906"/>
      <c r="M1" s="907"/>
      <c r="N1" s="631"/>
      <c r="O1" s="5"/>
      <c r="P1" s="16" t="s">
        <v>20</v>
      </c>
      <c r="R1" s="5" t="s">
        <v>192</v>
      </c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R1"/>
      <c r="AS1"/>
      <c r="AT1"/>
      <c r="AU1"/>
      <c r="AV1"/>
      <c r="AW1"/>
      <c r="AX1"/>
      <c r="AY1"/>
      <c r="AZ1"/>
      <c r="CC1" s="2" t="s">
        <v>302</v>
      </c>
      <c r="CD1" s="2" t="s">
        <v>294</v>
      </c>
      <c r="CE1" s="2" t="s">
        <v>295</v>
      </c>
    </row>
    <row r="2" spans="2:83" ht="15" customHeight="1" thickTop="1" thickBot="1" x14ac:dyDescent="0.25">
      <c r="B2" s="89"/>
      <c r="C2" s="110"/>
      <c r="D2" s="111"/>
      <c r="F2" s="33"/>
      <c r="M2" s="34"/>
      <c r="P2" s="8"/>
      <c r="Q2" s="900" t="s">
        <v>10</v>
      </c>
      <c r="R2" s="901"/>
      <c r="S2" s="901"/>
      <c r="T2" s="901"/>
      <c r="U2" s="901"/>
      <c r="V2" s="902"/>
      <c r="W2" s="900" t="s">
        <v>11</v>
      </c>
      <c r="X2" s="901"/>
      <c r="Y2" s="901"/>
      <c r="Z2" s="901"/>
      <c r="AA2" s="901"/>
      <c r="AB2" s="902"/>
      <c r="AC2" s="2"/>
      <c r="AD2" s="852" t="s">
        <v>10</v>
      </c>
      <c r="AE2" s="853"/>
      <c r="AF2" s="853"/>
      <c r="AG2" s="853"/>
      <c r="AH2" s="853"/>
      <c r="AI2" s="854"/>
      <c r="AJ2" s="855" t="s">
        <v>11</v>
      </c>
      <c r="AK2" s="856"/>
      <c r="AL2" s="856"/>
      <c r="AM2" s="856"/>
      <c r="AN2" s="856"/>
      <c r="AO2" s="857"/>
      <c r="AP2" s="4"/>
      <c r="AR2" s="131" t="s">
        <v>123</v>
      </c>
      <c r="AS2" s="921" t="s">
        <v>107</v>
      </c>
      <c r="AT2" s="922"/>
      <c r="AU2" s="852" t="s">
        <v>124</v>
      </c>
      <c r="AV2" s="853"/>
      <c r="AW2" s="853"/>
      <c r="AX2" s="854"/>
      <c r="AY2" s="928" t="s">
        <v>129</v>
      </c>
      <c r="AZ2" s="929"/>
      <c r="BA2" s="929"/>
      <c r="BB2" s="930"/>
      <c r="BE2" s="873" t="s">
        <v>130</v>
      </c>
      <c r="BF2" s="874"/>
      <c r="BG2" s="874"/>
      <c r="BH2" s="875"/>
      <c r="BI2" s="163"/>
      <c r="BJ2" s="163"/>
      <c r="BK2" s="163"/>
      <c r="BL2" s="163"/>
      <c r="BW2" s="873" t="s">
        <v>130</v>
      </c>
      <c r="BX2" s="874"/>
      <c r="BY2" s="874"/>
      <c r="BZ2" s="875"/>
      <c r="CB2" s="1" t="s">
        <v>289</v>
      </c>
      <c r="CC2" s="2">
        <f>C5</f>
        <v>568</v>
      </c>
      <c r="CD2" s="2">
        <v>0.34599999999999997</v>
      </c>
      <c r="CE2" s="2">
        <f>CC2*CD2</f>
        <v>196.52799999999999</v>
      </c>
    </row>
    <row r="3" spans="2:83" ht="15" customHeight="1" thickBot="1" x14ac:dyDescent="0.25">
      <c r="B3" s="89" t="s">
        <v>81</v>
      </c>
      <c r="C3" s="109" t="s">
        <v>359</v>
      </c>
      <c r="D3" s="90" t="str">
        <f>IF(C3&lt;&gt;"bj",IF(C3&lt;&gt;"hx"," bj ou hx",""),"")</f>
        <v/>
      </c>
      <c r="F3" s="33"/>
      <c r="G3" s="914" t="s">
        <v>47</v>
      </c>
      <c r="H3" s="915"/>
      <c r="K3" s="908" t="s">
        <v>58</v>
      </c>
      <c r="L3" s="909"/>
      <c r="M3" s="34"/>
      <c r="P3" s="8"/>
      <c r="Q3" s="896" t="s">
        <v>13</v>
      </c>
      <c r="R3" s="897"/>
      <c r="S3" s="897" t="s">
        <v>14</v>
      </c>
      <c r="T3" s="897"/>
      <c r="U3" s="898" t="s">
        <v>15</v>
      </c>
      <c r="V3" s="899"/>
      <c r="W3" s="896" t="s">
        <v>13</v>
      </c>
      <c r="X3" s="897"/>
      <c r="Y3" s="897" t="s">
        <v>14</v>
      </c>
      <c r="Z3" s="897"/>
      <c r="AA3" s="898" t="s">
        <v>15</v>
      </c>
      <c r="AB3" s="899"/>
      <c r="AC3" s="2"/>
      <c r="AD3" s="858" t="s">
        <v>13</v>
      </c>
      <c r="AE3" s="859"/>
      <c r="AF3" s="859" t="s">
        <v>14</v>
      </c>
      <c r="AG3" s="859"/>
      <c r="AH3" s="860" t="s">
        <v>15</v>
      </c>
      <c r="AI3" s="861"/>
      <c r="AJ3" s="858" t="s">
        <v>13</v>
      </c>
      <c r="AK3" s="859"/>
      <c r="AL3" s="859" t="s">
        <v>14</v>
      </c>
      <c r="AM3" s="859"/>
      <c r="AN3" s="860" t="s">
        <v>15</v>
      </c>
      <c r="AO3" s="861"/>
      <c r="AP3" s="2"/>
      <c r="AR3" s="124" t="s">
        <v>125</v>
      </c>
      <c r="AS3" s="175" t="s">
        <v>126</v>
      </c>
      <c r="AT3" s="125" t="s">
        <v>132</v>
      </c>
      <c r="AU3" s="931" t="s">
        <v>128</v>
      </c>
      <c r="AV3" s="932"/>
      <c r="AW3" s="933" t="s">
        <v>127</v>
      </c>
      <c r="AX3" s="934"/>
      <c r="AY3" s="878" t="s">
        <v>128</v>
      </c>
      <c r="AZ3" s="879"/>
      <c r="BA3" s="879" t="s">
        <v>127</v>
      </c>
      <c r="BB3" s="880"/>
      <c r="BE3" s="876" t="s">
        <v>128</v>
      </c>
      <c r="BF3" s="877"/>
      <c r="BG3" s="881" t="s">
        <v>127</v>
      </c>
      <c r="BH3" s="882"/>
      <c r="BI3" s="4"/>
      <c r="BJ3" s="4"/>
      <c r="BK3" s="4"/>
      <c r="BL3" s="4"/>
      <c r="BW3" s="862" t="s">
        <v>144</v>
      </c>
      <c r="BX3" s="864"/>
      <c r="BY3" s="871" t="s">
        <v>147</v>
      </c>
      <c r="BZ3" s="863"/>
      <c r="CC3" s="2"/>
      <c r="CD3" s="2"/>
      <c r="CE3" s="2"/>
    </row>
    <row r="4" spans="2:83" ht="15" customHeight="1" thickBot="1" x14ac:dyDescent="0.25">
      <c r="B4" s="395"/>
      <c r="D4" s="34"/>
      <c r="F4" s="33"/>
      <c r="M4" s="34"/>
      <c r="P4" s="8" t="s">
        <v>1</v>
      </c>
      <c r="Q4" s="339" t="s">
        <v>5</v>
      </c>
      <c r="R4" s="17" t="s">
        <v>12</v>
      </c>
      <c r="S4" s="307" t="s">
        <v>5</v>
      </c>
      <c r="T4" s="17" t="s">
        <v>12</v>
      </c>
      <c r="U4" s="307" t="s">
        <v>5</v>
      </c>
      <c r="V4" s="138" t="s">
        <v>12</v>
      </c>
      <c r="W4" s="358" t="s">
        <v>5</v>
      </c>
      <c r="X4" s="17" t="s">
        <v>12</v>
      </c>
      <c r="Y4" s="322" t="s">
        <v>5</v>
      </c>
      <c r="Z4" s="17" t="s">
        <v>12</v>
      </c>
      <c r="AA4" s="322" t="s">
        <v>5</v>
      </c>
      <c r="AB4" s="138" t="s">
        <v>12</v>
      </c>
      <c r="AC4" s="2"/>
      <c r="AD4" s="865" t="s">
        <v>5</v>
      </c>
      <c r="AE4" s="866"/>
      <c r="AF4" s="865" t="s">
        <v>5</v>
      </c>
      <c r="AG4" s="867"/>
      <c r="AH4" s="866" t="s">
        <v>5</v>
      </c>
      <c r="AI4" s="867"/>
      <c r="AJ4" s="850" t="s">
        <v>5</v>
      </c>
      <c r="AK4" s="851"/>
      <c r="AL4" s="850" t="s">
        <v>5</v>
      </c>
      <c r="AM4" s="851"/>
      <c r="AN4" s="850" t="s">
        <v>5</v>
      </c>
      <c r="AO4" s="851"/>
      <c r="AP4" s="2"/>
      <c r="AR4" s="126"/>
      <c r="AS4" s="127"/>
      <c r="AT4" s="181"/>
      <c r="AU4" s="128" t="s">
        <v>6</v>
      </c>
      <c r="AV4" s="129" t="s">
        <v>5</v>
      </c>
      <c r="AW4" s="129" t="s">
        <v>6</v>
      </c>
      <c r="AX4" s="130" t="s">
        <v>5</v>
      </c>
      <c r="AY4" s="128" t="s">
        <v>6</v>
      </c>
      <c r="AZ4" s="129" t="s">
        <v>5</v>
      </c>
      <c r="BA4" s="129" t="s">
        <v>6</v>
      </c>
      <c r="BB4" s="130" t="s">
        <v>5</v>
      </c>
      <c r="BE4" s="128" t="s">
        <v>6</v>
      </c>
      <c r="BF4" s="129" t="s">
        <v>5</v>
      </c>
      <c r="BG4" s="169" t="s">
        <v>6</v>
      </c>
      <c r="BH4" s="170" t="s">
        <v>5</v>
      </c>
      <c r="BI4" s="163"/>
      <c r="BJ4" s="163"/>
      <c r="BK4" s="163"/>
      <c r="BL4" s="163"/>
      <c r="BN4" s="926" t="s">
        <v>6</v>
      </c>
      <c r="BO4" s="927"/>
      <c r="BP4" s="923" t="s">
        <v>5</v>
      </c>
      <c r="BQ4" s="923"/>
      <c r="BR4" s="924" t="s">
        <v>6</v>
      </c>
      <c r="BS4" s="924"/>
      <c r="BT4" s="924" t="s">
        <v>5</v>
      </c>
      <c r="BU4" s="925"/>
      <c r="BW4" s="215" t="s">
        <v>145</v>
      </c>
      <c r="BX4" s="169" t="s">
        <v>146</v>
      </c>
      <c r="BY4" s="215" t="s">
        <v>145</v>
      </c>
      <c r="BZ4" s="169" t="s">
        <v>146</v>
      </c>
      <c r="CB4" s="1" t="s">
        <v>296</v>
      </c>
      <c r="CC4" s="2">
        <f>C7+C8</f>
        <v>160</v>
      </c>
      <c r="CD4" s="2">
        <v>0.41</v>
      </c>
      <c r="CE4" s="2">
        <f>CC4*CD4</f>
        <v>65.599999999999994</v>
      </c>
    </row>
    <row r="5" spans="2:83" ht="15" customHeight="1" thickBot="1" x14ac:dyDescent="0.25">
      <c r="B5" s="62" t="s">
        <v>82</v>
      </c>
      <c r="C5" s="57">
        <v>568</v>
      </c>
      <c r="D5" s="44" t="s">
        <v>65</v>
      </c>
      <c r="F5" s="68" t="s">
        <v>75</v>
      </c>
      <c r="G5" s="5" t="s">
        <v>70</v>
      </c>
      <c r="H5" s="92">
        <v>105</v>
      </c>
      <c r="M5" s="34"/>
      <c r="P5" s="1">
        <v>0</v>
      </c>
      <c r="Q5" s="353">
        <v>215</v>
      </c>
      <c r="R5" s="12">
        <v>460</v>
      </c>
      <c r="S5" s="304">
        <v>240</v>
      </c>
      <c r="T5" s="305">
        <v>510</v>
      </c>
      <c r="U5" s="304">
        <v>270</v>
      </c>
      <c r="V5" s="354">
        <v>565</v>
      </c>
      <c r="W5" s="359">
        <v>295</v>
      </c>
      <c r="X5" s="12">
        <v>540</v>
      </c>
      <c r="Y5" s="323">
        <v>335</v>
      </c>
      <c r="Z5" s="305">
        <v>605</v>
      </c>
      <c r="AA5" s="323">
        <v>380</v>
      </c>
      <c r="AB5" s="354">
        <v>675</v>
      </c>
      <c r="AC5" s="2" t="s">
        <v>187</v>
      </c>
      <c r="AD5" s="570">
        <v>215</v>
      </c>
      <c r="AE5" s="182">
        <v>1.7500000000000002E-2</v>
      </c>
      <c r="AF5" s="582">
        <v>240</v>
      </c>
      <c r="AG5" s="211">
        <v>2.1250000000000002E-2</v>
      </c>
      <c r="AH5" s="581">
        <v>270</v>
      </c>
      <c r="AI5" s="211">
        <v>2.375E-2</v>
      </c>
      <c r="AJ5" s="571">
        <v>295</v>
      </c>
      <c r="AK5" s="583">
        <v>3.2500000000000001E-2</v>
      </c>
      <c r="AL5" s="579">
        <v>335</v>
      </c>
      <c r="AM5" s="595">
        <v>0.04</v>
      </c>
      <c r="AN5" s="572">
        <v>380</v>
      </c>
      <c r="AO5" s="595">
        <v>4.6249999999999999E-2</v>
      </c>
      <c r="AR5" s="114"/>
      <c r="AS5" s="176">
        <v>-5</v>
      </c>
      <c r="AT5" s="183">
        <f t="shared" ref="AT5:AT13" si="0">AS5+21</f>
        <v>16</v>
      </c>
      <c r="AU5" s="132">
        <v>460</v>
      </c>
      <c r="AV5" s="115">
        <v>215</v>
      </c>
      <c r="AW5" s="115">
        <v>540</v>
      </c>
      <c r="AX5" s="118">
        <v>295</v>
      </c>
      <c r="AY5" s="133">
        <v>270</v>
      </c>
      <c r="AZ5" s="115">
        <v>120</v>
      </c>
      <c r="BA5" s="134">
        <v>300</v>
      </c>
      <c r="BB5" s="135">
        <v>150</v>
      </c>
      <c r="BE5" s="160">
        <f t="shared" ref="BE5:BE13" si="1">BN5*$C$22+BO5</f>
        <v>439.08100000000002</v>
      </c>
      <c r="BF5" s="166">
        <f t="shared" ref="BF5:BF13" si="2">BP5*$C$22+BQ5</f>
        <v>204.54050000000001</v>
      </c>
      <c r="BG5" s="146">
        <f t="shared" ref="BG5:BG13" si="3">BR5*$C$22+BS5</f>
        <v>513.57600000000002</v>
      </c>
      <c r="BH5" s="147">
        <f t="shared" ref="BH5:BH13" si="4">BT5*$C$22+BU5</f>
        <v>279.03549999999996</v>
      </c>
      <c r="BN5" s="153">
        <v>0.95</v>
      </c>
      <c r="BO5" s="154">
        <v>-361.75</v>
      </c>
      <c r="BP5" s="155">
        <v>0.47499999999999998</v>
      </c>
      <c r="BQ5" s="164">
        <v>-195.875</v>
      </c>
      <c r="BR5" s="146">
        <v>1.2</v>
      </c>
      <c r="BS5" s="166">
        <v>-498</v>
      </c>
      <c r="BT5" s="146">
        <v>0.72499999999999998</v>
      </c>
      <c r="BU5" s="147">
        <v>-332.125</v>
      </c>
      <c r="BW5" s="160">
        <f t="shared" ref="BW5:BW13" si="5">$C$22*BN17+BO17</f>
        <v>416.74250000000001</v>
      </c>
      <c r="BX5" s="147">
        <f t="shared" ref="BX5:BX13" si="6">$C$22*BP17+BQ17</f>
        <v>170.596</v>
      </c>
      <c r="BY5" s="146">
        <f t="shared" ref="BY5:BY13" si="7">$C$22*BR17+BS17</f>
        <v>504.54050000000001</v>
      </c>
      <c r="BZ5" s="147">
        <f t="shared" ref="BZ5:BZ13" si="8">$C$22*BT17+BU17</f>
        <v>258.39400000000001</v>
      </c>
      <c r="CB5" s="1" t="s">
        <v>155</v>
      </c>
      <c r="CC5" s="2">
        <f>C9+C10</f>
        <v>20</v>
      </c>
      <c r="CD5" s="2">
        <v>1.19</v>
      </c>
      <c r="CE5" s="2">
        <f>CC5*CD5</f>
        <v>23.799999999999997</v>
      </c>
    </row>
    <row r="6" spans="2:83" ht="15" customHeight="1" thickBot="1" x14ac:dyDescent="0.25">
      <c r="B6" s="62"/>
      <c r="D6" s="44"/>
      <c r="F6" s="68" t="s">
        <v>74</v>
      </c>
      <c r="G6" s="5" t="s">
        <v>71</v>
      </c>
      <c r="H6" s="93">
        <v>75</v>
      </c>
      <c r="J6" s="5" t="s">
        <v>95</v>
      </c>
      <c r="K6" s="85" t="str">
        <f>IF(Y100&lt;0,"G","D")</f>
        <v>G</v>
      </c>
      <c r="L6" s="86">
        <f>IF(Y100&gt;0,Y100,-Y100)</f>
        <v>2.4999999999999991</v>
      </c>
      <c r="M6" s="34"/>
      <c r="P6" s="27">
        <v>4000</v>
      </c>
      <c r="Q6" s="353">
        <v>285</v>
      </c>
      <c r="R6" s="12">
        <v>615</v>
      </c>
      <c r="S6" s="304">
        <v>325</v>
      </c>
      <c r="T6" s="305">
        <v>690</v>
      </c>
      <c r="U6" s="304">
        <v>365</v>
      </c>
      <c r="V6" s="354">
        <v>765</v>
      </c>
      <c r="W6" s="359">
        <v>425</v>
      </c>
      <c r="X6" s="12">
        <v>755</v>
      </c>
      <c r="Y6" s="323">
        <v>495</v>
      </c>
      <c r="Z6" s="305">
        <v>860</v>
      </c>
      <c r="AA6" s="323">
        <v>565</v>
      </c>
      <c r="AB6" s="354">
        <v>965</v>
      </c>
      <c r="AC6" s="562" t="s">
        <v>211</v>
      </c>
      <c r="AD6" s="124">
        <v>180</v>
      </c>
      <c r="AE6" s="175">
        <v>2.6249999999999999E-2</v>
      </c>
      <c r="AF6" s="391">
        <v>200</v>
      </c>
      <c r="AG6" s="563">
        <v>3.125E-2</v>
      </c>
      <c r="AH6" s="327">
        <v>225</v>
      </c>
      <c r="AI6" s="563">
        <v>3.5000000000000003E-2</v>
      </c>
      <c r="AJ6" s="564">
        <v>205</v>
      </c>
      <c r="AK6" s="584">
        <v>5.5E-2</v>
      </c>
      <c r="AL6" s="580">
        <v>230</v>
      </c>
      <c r="AM6" s="596">
        <v>6.6250000000000003E-2</v>
      </c>
      <c r="AN6" s="565">
        <v>240</v>
      </c>
      <c r="AO6" s="596">
        <v>8.1250000000000003E-2</v>
      </c>
      <c r="AR6" s="116">
        <v>0</v>
      </c>
      <c r="AS6" s="177">
        <v>15</v>
      </c>
      <c r="AT6" s="183">
        <f t="shared" si="0"/>
        <v>36</v>
      </c>
      <c r="AU6" s="136">
        <v>510</v>
      </c>
      <c r="AV6" s="113">
        <v>240</v>
      </c>
      <c r="AW6" s="113">
        <v>605</v>
      </c>
      <c r="AX6" s="137">
        <v>335</v>
      </c>
      <c r="AY6" s="112">
        <v>295</v>
      </c>
      <c r="AZ6" s="113">
        <v>135</v>
      </c>
      <c r="BA6" s="17">
        <v>330</v>
      </c>
      <c r="BB6" s="138">
        <v>170</v>
      </c>
      <c r="BE6" s="161">
        <f t="shared" si="1"/>
        <v>486.32849999999996</v>
      </c>
      <c r="BF6" s="40">
        <f t="shared" si="2"/>
        <v>228.43950000000001</v>
      </c>
      <c r="BG6" s="148">
        <f t="shared" si="3"/>
        <v>574.72250000000008</v>
      </c>
      <c r="BH6" s="149">
        <f t="shared" si="4"/>
        <v>316.83349999999996</v>
      </c>
      <c r="BN6" s="156">
        <v>1.075</v>
      </c>
      <c r="BO6" s="157">
        <v>-419.875</v>
      </c>
      <c r="BP6" s="156">
        <v>0.52500000000000002</v>
      </c>
      <c r="BQ6" s="157">
        <v>-214.125</v>
      </c>
      <c r="BR6" s="148">
        <v>1.375</v>
      </c>
      <c r="BS6" s="165">
        <v>-584.375</v>
      </c>
      <c r="BT6" s="148">
        <v>0.82499999999999996</v>
      </c>
      <c r="BU6" s="149">
        <v>-378.625</v>
      </c>
      <c r="BW6" s="216">
        <f t="shared" si="5"/>
        <v>441.19200000000001</v>
      </c>
      <c r="BX6" s="149">
        <f t="shared" si="6"/>
        <v>185.0455</v>
      </c>
      <c r="BY6" s="148">
        <f t="shared" si="7"/>
        <v>533.99</v>
      </c>
      <c r="BZ6" s="149">
        <f t="shared" si="8"/>
        <v>277.84350000000001</v>
      </c>
      <c r="CB6" s="1" t="s">
        <v>86</v>
      </c>
      <c r="CC6" s="2">
        <f>C11</f>
        <v>16</v>
      </c>
      <c r="CD6" s="2">
        <v>1.9</v>
      </c>
      <c r="CE6" s="2">
        <f>CC6*CD6</f>
        <v>30.4</v>
      </c>
    </row>
    <row r="7" spans="2:83" ht="15" customHeight="1" thickBot="1" x14ac:dyDescent="0.25">
      <c r="B7" s="62" t="s">
        <v>83</v>
      </c>
      <c r="C7" s="92">
        <v>85</v>
      </c>
      <c r="D7" s="44" t="s">
        <v>65</v>
      </c>
      <c r="F7" s="68" t="s">
        <v>69</v>
      </c>
      <c r="G7" s="5" t="s">
        <v>72</v>
      </c>
      <c r="H7" s="93">
        <v>5</v>
      </c>
      <c r="J7" s="5" t="s">
        <v>73</v>
      </c>
      <c r="K7" s="903">
        <f>Y98</f>
        <v>-4.3301270189221945</v>
      </c>
      <c r="L7" s="904"/>
      <c r="M7" s="34"/>
      <c r="P7" s="28">
        <v>8000</v>
      </c>
      <c r="Q7" s="355">
        <v>390</v>
      </c>
      <c r="R7" s="233">
        <v>845</v>
      </c>
      <c r="S7" s="356">
        <v>450</v>
      </c>
      <c r="T7" s="233">
        <v>955</v>
      </c>
      <c r="U7" s="356">
        <v>505</v>
      </c>
      <c r="V7" s="357">
        <v>1070</v>
      </c>
      <c r="W7" s="360">
        <v>645</v>
      </c>
      <c r="X7" s="233">
        <v>1100</v>
      </c>
      <c r="Y7" s="361">
        <v>760</v>
      </c>
      <c r="Z7" s="233">
        <v>1265</v>
      </c>
      <c r="AA7" s="361">
        <v>890</v>
      </c>
      <c r="AB7" s="357">
        <v>1455</v>
      </c>
      <c r="AC7"/>
      <c r="AD7"/>
      <c r="AE7"/>
      <c r="AF7"/>
      <c r="AG7" s="4"/>
      <c r="AH7" s="4"/>
      <c r="AI7" s="4"/>
      <c r="AJ7" s="4"/>
      <c r="AK7" s="4"/>
      <c r="AL7" s="4"/>
      <c r="AM7" s="4"/>
      <c r="AN7" s="4"/>
      <c r="AO7"/>
      <c r="AP7"/>
      <c r="AR7" s="119"/>
      <c r="AS7" s="178">
        <v>35</v>
      </c>
      <c r="AT7" s="184">
        <f t="shared" si="0"/>
        <v>56</v>
      </c>
      <c r="AU7" s="139">
        <v>565</v>
      </c>
      <c r="AV7" s="23">
        <v>270</v>
      </c>
      <c r="AW7" s="23">
        <v>675</v>
      </c>
      <c r="AX7" s="140">
        <v>380</v>
      </c>
      <c r="AY7" s="141">
        <v>325</v>
      </c>
      <c r="AZ7" s="23">
        <v>150</v>
      </c>
      <c r="BA7" s="11">
        <v>365</v>
      </c>
      <c r="BB7" s="142">
        <v>190</v>
      </c>
      <c r="BE7" s="172">
        <f t="shared" si="1"/>
        <v>538.57600000000002</v>
      </c>
      <c r="BF7" s="167">
        <f t="shared" si="2"/>
        <v>256.78800000000001</v>
      </c>
      <c r="BG7" s="150">
        <f t="shared" si="3"/>
        <v>640.86900000000014</v>
      </c>
      <c r="BH7" s="151">
        <f t="shared" si="4"/>
        <v>359.08100000000002</v>
      </c>
      <c r="BN7" s="156">
        <v>1.2</v>
      </c>
      <c r="BO7" s="157">
        <v>-473</v>
      </c>
      <c r="BP7" s="156">
        <v>0.6</v>
      </c>
      <c r="BQ7" s="157">
        <v>-249</v>
      </c>
      <c r="BR7" s="148">
        <v>1.55</v>
      </c>
      <c r="BS7" s="165">
        <v>-665.75</v>
      </c>
      <c r="BT7" s="148">
        <v>0.95</v>
      </c>
      <c r="BU7" s="149">
        <v>-441.75</v>
      </c>
      <c r="BW7" s="172">
        <f t="shared" si="5"/>
        <v>461.19200000000001</v>
      </c>
      <c r="BX7" s="151">
        <f t="shared" si="6"/>
        <v>199.495</v>
      </c>
      <c r="BY7" s="150">
        <f t="shared" si="7"/>
        <v>558.99</v>
      </c>
      <c r="BZ7" s="151">
        <f t="shared" si="8"/>
        <v>297.29300000000001</v>
      </c>
      <c r="CC7" s="2"/>
      <c r="CD7" s="2"/>
      <c r="CE7" s="2"/>
    </row>
    <row r="8" spans="2:83" ht="15" customHeight="1" thickBot="1" x14ac:dyDescent="0.25">
      <c r="B8" s="62" t="s">
        <v>84</v>
      </c>
      <c r="C8" s="93">
        <v>75</v>
      </c>
      <c r="D8" s="44" t="s">
        <v>65</v>
      </c>
      <c r="F8" s="68" t="s">
        <v>65</v>
      </c>
      <c r="G8" s="5" t="s">
        <v>2</v>
      </c>
      <c r="H8" s="70">
        <f>C22</f>
        <v>842.98</v>
      </c>
      <c r="M8" s="34"/>
      <c r="Q8"/>
      <c r="R8"/>
      <c r="S8"/>
      <c r="T8"/>
      <c r="U8"/>
      <c r="V8"/>
      <c r="W8"/>
      <c r="X8"/>
      <c r="Y8"/>
      <c r="Z8"/>
      <c r="AA8"/>
      <c r="AB8"/>
      <c r="AC8"/>
      <c r="AD8" s="862" t="s">
        <v>12</v>
      </c>
      <c r="AE8" s="864"/>
      <c r="AF8" s="862" t="s">
        <v>12</v>
      </c>
      <c r="AG8" s="863"/>
      <c r="AH8" s="864" t="s">
        <v>12</v>
      </c>
      <c r="AI8" s="863"/>
      <c r="AJ8" s="862" t="s">
        <v>12</v>
      </c>
      <c r="AK8" s="864"/>
      <c r="AL8" s="862" t="s">
        <v>12</v>
      </c>
      <c r="AM8" s="863"/>
      <c r="AN8" s="864" t="s">
        <v>12</v>
      </c>
      <c r="AO8" s="863"/>
      <c r="AP8"/>
      <c r="AR8" s="114"/>
      <c r="AS8" s="176">
        <v>-13</v>
      </c>
      <c r="AT8" s="185">
        <f t="shared" si="0"/>
        <v>8</v>
      </c>
      <c r="AU8" s="132">
        <v>615</v>
      </c>
      <c r="AV8" s="115">
        <v>285</v>
      </c>
      <c r="AW8" s="115">
        <v>755</v>
      </c>
      <c r="AX8" s="118">
        <v>425</v>
      </c>
      <c r="AY8" s="133">
        <v>350</v>
      </c>
      <c r="AZ8" s="115">
        <v>160</v>
      </c>
      <c r="BA8" s="134">
        <v>400</v>
      </c>
      <c r="BB8" s="135">
        <v>210</v>
      </c>
      <c r="BE8" s="161">
        <f t="shared" si="1"/>
        <v>585.82349999999997</v>
      </c>
      <c r="BF8" s="40">
        <f t="shared" si="2"/>
        <v>271.23749999999995</v>
      </c>
      <c r="BG8" s="171">
        <f t="shared" si="3"/>
        <v>715.91449999999986</v>
      </c>
      <c r="BH8" s="152">
        <f t="shared" si="4"/>
        <v>401.32849999999996</v>
      </c>
      <c r="BN8" s="156">
        <v>1.325</v>
      </c>
      <c r="BO8" s="157">
        <v>-531.125</v>
      </c>
      <c r="BP8" s="156">
        <v>0.625</v>
      </c>
      <c r="BQ8" s="157">
        <v>-255.625</v>
      </c>
      <c r="BR8" s="148">
        <v>1.7749999999999999</v>
      </c>
      <c r="BS8" s="165">
        <v>-780.375</v>
      </c>
      <c r="BT8" s="148">
        <v>1.075</v>
      </c>
      <c r="BU8" s="149">
        <v>-504.875</v>
      </c>
      <c r="BW8" s="160">
        <f t="shared" si="5"/>
        <v>455.64150000000001</v>
      </c>
      <c r="BX8" s="147">
        <f t="shared" si="6"/>
        <v>194.495</v>
      </c>
      <c r="BY8" s="146">
        <f t="shared" si="7"/>
        <v>553.43949999999995</v>
      </c>
      <c r="BZ8" s="147">
        <f t="shared" si="8"/>
        <v>292.29300000000001</v>
      </c>
      <c r="CB8" s="1" t="s">
        <v>291</v>
      </c>
      <c r="CC8" s="534">
        <f>C20</f>
        <v>78.97999999999999</v>
      </c>
      <c r="CD8" s="2">
        <v>1.1200000000000001</v>
      </c>
      <c r="CE8" s="2">
        <f>CC8*CD8</f>
        <v>88.457599999999999</v>
      </c>
    </row>
    <row r="9" spans="2:83" ht="15" customHeight="1" thickBot="1" x14ac:dyDescent="0.25">
      <c r="B9" s="62" t="s">
        <v>85</v>
      </c>
      <c r="C9" s="93">
        <v>20</v>
      </c>
      <c r="D9" s="44" t="s">
        <v>65</v>
      </c>
      <c r="F9" s="68" t="s">
        <v>66</v>
      </c>
      <c r="G9" s="5" t="s">
        <v>7</v>
      </c>
      <c r="H9" s="93">
        <v>426</v>
      </c>
      <c r="I9" s="60" t="str">
        <f>IF(H9&gt;8000,"8000 ft max","")</f>
        <v/>
      </c>
      <c r="J9" s="5" t="s">
        <v>96</v>
      </c>
      <c r="K9" s="916">
        <f>IF(H11&gt;1013,H9-(H11-1013)*28,H9+(1013-H11)*28)</f>
        <v>426</v>
      </c>
      <c r="L9" s="917"/>
      <c r="M9" s="34"/>
      <c r="P9" s="2" t="s">
        <v>42</v>
      </c>
      <c r="Q9" s="302">
        <f>AD5+AE5*$K$9</f>
        <v>222.45500000000001</v>
      </c>
      <c r="R9" s="91">
        <f>AD9+AE9*$K$9</f>
        <v>476.50749999999999</v>
      </c>
      <c r="S9" s="302">
        <f>AF5+AG5*$K$9</f>
        <v>249.05250000000001</v>
      </c>
      <c r="T9" s="91">
        <f>AF9+AG9*$K$9</f>
        <v>529.16999999999996</v>
      </c>
      <c r="U9" s="302">
        <f>AH5+AI5*$K$9</f>
        <v>280.11750000000001</v>
      </c>
      <c r="V9" s="91">
        <f>AH9+AI9*$K$9</f>
        <v>586.29999999999995</v>
      </c>
      <c r="W9" s="324">
        <f>AJ5+AK5*$K$9</f>
        <v>308.84500000000003</v>
      </c>
      <c r="X9" s="91">
        <f>AJ9+AK9*$K$9</f>
        <v>562.89750000000004</v>
      </c>
      <c r="Y9" s="324">
        <f>AL5+AM5*$K$9</f>
        <v>352.04</v>
      </c>
      <c r="Z9" s="91">
        <f>AL9+AM9*$K$9</f>
        <v>632.15750000000003</v>
      </c>
      <c r="AA9" s="324">
        <f>AN5+AO5*$K$9</f>
        <v>399.70249999999999</v>
      </c>
      <c r="AB9" s="91">
        <f>AN9+AO9*$K$9</f>
        <v>705.88499999999999</v>
      </c>
      <c r="AC9" s="2" t="s">
        <v>187</v>
      </c>
      <c r="AD9" s="566">
        <v>460</v>
      </c>
      <c r="AE9" s="573">
        <v>3.875E-2</v>
      </c>
      <c r="AF9" s="577" t="s">
        <v>214</v>
      </c>
      <c r="AG9" s="578" t="s">
        <v>215</v>
      </c>
      <c r="AH9" s="575" t="s">
        <v>218</v>
      </c>
      <c r="AI9" s="567" t="s">
        <v>219</v>
      </c>
      <c r="AJ9" s="585" t="s">
        <v>222</v>
      </c>
      <c r="AK9" s="586" t="s">
        <v>223</v>
      </c>
      <c r="AL9" s="587" t="s">
        <v>226</v>
      </c>
      <c r="AM9" s="588" t="s">
        <v>227</v>
      </c>
      <c r="AN9" s="589" t="s">
        <v>230</v>
      </c>
      <c r="AO9" s="590" t="s">
        <v>231</v>
      </c>
      <c r="AP9" s="496"/>
      <c r="AR9" s="120">
        <v>4000</v>
      </c>
      <c r="AS9" s="179">
        <v>7</v>
      </c>
      <c r="AT9" s="183">
        <f t="shared" si="0"/>
        <v>28</v>
      </c>
      <c r="AU9" s="136">
        <v>690</v>
      </c>
      <c r="AV9" s="113">
        <v>325</v>
      </c>
      <c r="AW9" s="113">
        <v>860</v>
      </c>
      <c r="AX9" s="137">
        <v>495</v>
      </c>
      <c r="AY9" s="112">
        <v>390</v>
      </c>
      <c r="AZ9" s="113">
        <v>180</v>
      </c>
      <c r="BA9" s="17">
        <v>445</v>
      </c>
      <c r="BB9" s="138">
        <v>235</v>
      </c>
      <c r="BE9" s="161">
        <f t="shared" si="1"/>
        <v>656.97</v>
      </c>
      <c r="BF9" s="40">
        <f t="shared" si="2"/>
        <v>309.03549999999996</v>
      </c>
      <c r="BG9" s="148">
        <f t="shared" si="3"/>
        <v>814.30850000000009</v>
      </c>
      <c r="BH9" s="149">
        <f t="shared" si="4"/>
        <v>466.37400000000002</v>
      </c>
      <c r="BN9" s="156">
        <v>1.5</v>
      </c>
      <c r="BO9" s="157">
        <v>-607.5</v>
      </c>
      <c r="BP9" s="156">
        <v>0.72499999999999998</v>
      </c>
      <c r="BQ9" s="157">
        <v>-302.125</v>
      </c>
      <c r="BR9" s="148">
        <v>2.0750000000000002</v>
      </c>
      <c r="BS9" s="165">
        <v>-934.875</v>
      </c>
      <c r="BT9" s="148">
        <v>1.3</v>
      </c>
      <c r="BU9" s="149">
        <v>-629.5</v>
      </c>
      <c r="BW9" s="216">
        <f t="shared" si="5"/>
        <v>480.09100000000001</v>
      </c>
      <c r="BX9" s="149">
        <f t="shared" si="6"/>
        <v>209.495</v>
      </c>
      <c r="BY9" s="148">
        <f t="shared" si="7"/>
        <v>582.88900000000012</v>
      </c>
      <c r="BZ9" s="149">
        <f t="shared" si="8"/>
        <v>312.29300000000001</v>
      </c>
      <c r="CC9" s="2"/>
      <c r="CD9" s="2"/>
      <c r="CE9" s="2"/>
    </row>
    <row r="10" spans="2:83" ht="15" customHeight="1" thickBot="1" x14ac:dyDescent="0.25">
      <c r="B10" s="62" t="s">
        <v>85</v>
      </c>
      <c r="C10" s="93">
        <v>0</v>
      </c>
      <c r="D10" s="44" t="s">
        <v>65</v>
      </c>
      <c r="F10" s="68" t="s">
        <v>67</v>
      </c>
      <c r="G10" s="5" t="s">
        <v>0</v>
      </c>
      <c r="H10" s="93">
        <v>32</v>
      </c>
      <c r="I10" s="60" t="str">
        <f>IF(H9&lt;4000,IF(H10&gt;35,"35° max",IF(H10&lt;-5,"- 5° max","")),IF(H10&gt;27,"27 ° max",IF(H10&lt;-13,"- 13° max","")))</f>
        <v/>
      </c>
      <c r="M10" s="34"/>
      <c r="Q10"/>
      <c r="R10"/>
      <c r="S10"/>
      <c r="T10"/>
      <c r="U10"/>
      <c r="V10"/>
      <c r="W10"/>
      <c r="X10"/>
      <c r="Y10"/>
      <c r="Z10"/>
      <c r="AA10"/>
      <c r="AB10"/>
      <c r="AC10" s="562" t="s">
        <v>211</v>
      </c>
      <c r="AD10" s="568" t="s">
        <v>212</v>
      </c>
      <c r="AE10" s="574" t="s">
        <v>213</v>
      </c>
      <c r="AF10" s="568" t="s">
        <v>216</v>
      </c>
      <c r="AG10" s="569" t="s">
        <v>217</v>
      </c>
      <c r="AH10" s="576" t="s">
        <v>220</v>
      </c>
      <c r="AI10" s="569" t="s">
        <v>221</v>
      </c>
      <c r="AJ10" s="591" t="s">
        <v>224</v>
      </c>
      <c r="AK10" s="592" t="s">
        <v>225</v>
      </c>
      <c r="AL10" s="591" t="s">
        <v>228</v>
      </c>
      <c r="AM10" s="593" t="s">
        <v>229</v>
      </c>
      <c r="AN10" s="594" t="s">
        <v>232</v>
      </c>
      <c r="AO10" s="593" t="s">
        <v>233</v>
      </c>
      <c r="AP10"/>
      <c r="AR10" s="117"/>
      <c r="AS10" s="180">
        <v>27</v>
      </c>
      <c r="AT10" s="186">
        <f t="shared" si="0"/>
        <v>48</v>
      </c>
      <c r="AU10" s="143">
        <v>765</v>
      </c>
      <c r="AV10" s="121">
        <v>365</v>
      </c>
      <c r="AW10" s="121">
        <v>965</v>
      </c>
      <c r="AX10" s="122">
        <v>565</v>
      </c>
      <c r="AY10" s="123">
        <v>430</v>
      </c>
      <c r="AZ10" s="121">
        <v>200</v>
      </c>
      <c r="BA10" s="144">
        <v>495</v>
      </c>
      <c r="BB10" s="145">
        <v>265</v>
      </c>
      <c r="BE10" s="172">
        <f t="shared" si="1"/>
        <v>718.20749999999998</v>
      </c>
      <c r="BF10" s="167">
        <f t="shared" si="2"/>
        <v>346.83349999999996</v>
      </c>
      <c r="BG10" s="150">
        <f t="shared" si="3"/>
        <v>913.25300000000016</v>
      </c>
      <c r="BH10" s="174">
        <f t="shared" si="4"/>
        <v>531.97</v>
      </c>
      <c r="BN10" s="156">
        <v>2.125</v>
      </c>
      <c r="BO10" s="157">
        <v>-1073.125</v>
      </c>
      <c r="BP10" s="156">
        <v>0.82499999999999996</v>
      </c>
      <c r="BQ10" s="157">
        <v>-348.625</v>
      </c>
      <c r="BR10" s="148">
        <v>2.35</v>
      </c>
      <c r="BS10" s="165">
        <v>-1067.75</v>
      </c>
      <c r="BT10" s="148">
        <v>1.5</v>
      </c>
      <c r="BU10" s="149">
        <v>-732.5</v>
      </c>
      <c r="BW10" s="172">
        <f t="shared" si="5"/>
        <v>504.54050000000001</v>
      </c>
      <c r="BX10" s="151">
        <f t="shared" si="6"/>
        <v>223.94450000000003</v>
      </c>
      <c r="BY10" s="150">
        <f t="shared" si="7"/>
        <v>616.78800000000001</v>
      </c>
      <c r="BZ10" s="151">
        <f t="shared" si="8"/>
        <v>336.19200000000001</v>
      </c>
      <c r="CB10" s="1" t="s">
        <v>303</v>
      </c>
      <c r="CC10" s="2">
        <f>SUM(CC2:CC8)</f>
        <v>842.98</v>
      </c>
      <c r="CD10" s="47">
        <f>CE10/CC10</f>
        <v>0.4801841087570286</v>
      </c>
      <c r="CE10" s="2">
        <f>SUM(CE2:CE8)</f>
        <v>404.78559999999999</v>
      </c>
    </row>
    <row r="11" spans="2:83" ht="15" customHeight="1" thickTop="1" thickBot="1" x14ac:dyDescent="0.25">
      <c r="B11" s="62" t="s">
        <v>86</v>
      </c>
      <c r="C11" s="94">
        <v>16</v>
      </c>
      <c r="D11" s="44" t="s">
        <v>65</v>
      </c>
      <c r="F11" s="68" t="s">
        <v>68</v>
      </c>
      <c r="G11" s="5" t="s">
        <v>8</v>
      </c>
      <c r="H11" s="93">
        <v>1013</v>
      </c>
      <c r="J11" s="43" t="s">
        <v>33</v>
      </c>
      <c r="K11" s="65" t="s">
        <v>57</v>
      </c>
      <c r="M11" s="34"/>
      <c r="P11" s="2" t="s">
        <v>43</v>
      </c>
      <c r="Q11" s="303">
        <f>AD6+AE6*$K$9</f>
        <v>191.1825</v>
      </c>
      <c r="R11" s="600">
        <f>AD10+AE10*$K$9</f>
        <v>409.495</v>
      </c>
      <c r="S11" s="303">
        <f>AF6+AG6*$K$9</f>
        <v>213.3125</v>
      </c>
      <c r="T11" s="600">
        <f>AF10+AG10*$K$9</f>
        <v>453.22250000000003</v>
      </c>
      <c r="U11" s="303">
        <f>AH6+AI6*$K$9</f>
        <v>239.91</v>
      </c>
      <c r="V11" s="600">
        <f>AH10+AI10*$K$9</f>
        <v>492.48250000000002</v>
      </c>
      <c r="W11" s="325">
        <f>AJ6+AK6*$K$9</f>
        <v>228.43</v>
      </c>
      <c r="X11" s="600">
        <f>AJ10+AK10*$K$9</f>
        <v>446.74250000000001</v>
      </c>
      <c r="Y11" s="325">
        <f>AL6+AM6*$K$9</f>
        <v>258.22250000000003</v>
      </c>
      <c r="Z11" s="600">
        <f>AL10+AM10*$K$9</f>
        <v>498.13249999999999</v>
      </c>
      <c r="AA11" s="325">
        <f>AN6+AO6*$K$9</f>
        <v>274.61250000000001</v>
      </c>
      <c r="AB11" s="600">
        <f>AN10+AO10*$K$9</f>
        <v>527.18499999999995</v>
      </c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R11" s="119"/>
      <c r="AS11" s="182">
        <v>-21</v>
      </c>
      <c r="AT11" s="187">
        <f t="shared" si="0"/>
        <v>0</v>
      </c>
      <c r="AU11" s="132">
        <v>845</v>
      </c>
      <c r="AV11" s="115">
        <v>390</v>
      </c>
      <c r="AW11" s="115">
        <v>1100</v>
      </c>
      <c r="AX11" s="118">
        <v>645</v>
      </c>
      <c r="AY11" s="133">
        <v>465</v>
      </c>
      <c r="AZ11" s="115">
        <v>215</v>
      </c>
      <c r="BA11" s="134">
        <v>550</v>
      </c>
      <c r="BB11" s="135">
        <v>300</v>
      </c>
      <c r="BE11" s="161">
        <f t="shared" si="1"/>
        <v>803.16200000000003</v>
      </c>
      <c r="BF11" s="40">
        <f t="shared" si="2"/>
        <v>370.73250000000007</v>
      </c>
      <c r="BG11" s="171">
        <f t="shared" si="3"/>
        <v>1039.4450000000002</v>
      </c>
      <c r="BH11" s="152">
        <f t="shared" si="4"/>
        <v>607.0155000000002</v>
      </c>
      <c r="BN11" s="156">
        <v>1.9</v>
      </c>
      <c r="BO11" s="157">
        <v>-798.5</v>
      </c>
      <c r="BP11" s="156">
        <v>0.875</v>
      </c>
      <c r="BQ11" s="157">
        <v>-366.875</v>
      </c>
      <c r="BR11" s="148">
        <v>2.75</v>
      </c>
      <c r="BS11" s="165">
        <v>-1278.75</v>
      </c>
      <c r="BT11" s="148">
        <v>1.7250000000000001</v>
      </c>
      <c r="BU11" s="149">
        <v>-847.125</v>
      </c>
      <c r="BW11" s="161">
        <f t="shared" si="5"/>
        <v>499.54050000000001</v>
      </c>
      <c r="BX11" s="152">
        <f t="shared" si="6"/>
        <v>218.94450000000003</v>
      </c>
      <c r="BY11" s="171">
        <f t="shared" si="7"/>
        <v>607.33849999999995</v>
      </c>
      <c r="BZ11" s="152">
        <f t="shared" si="8"/>
        <v>326.74250000000001</v>
      </c>
    </row>
    <row r="12" spans="2:83" ht="15" customHeight="1" thickBot="1" x14ac:dyDescent="0.25">
      <c r="B12" s="62"/>
      <c r="C12" s="58" t="s">
        <v>87</v>
      </c>
      <c r="D12" s="44" t="s">
        <v>88</v>
      </c>
      <c r="F12" s="68"/>
      <c r="G12" s="5" t="s">
        <v>16</v>
      </c>
      <c r="H12" s="95" t="s">
        <v>64</v>
      </c>
      <c r="I12" s="79" t="str">
        <f>IF(H12&lt;&gt;"d",IF(H12&lt;&gt;"h","choisissez d ou h",""),"")</f>
        <v/>
      </c>
      <c r="J12" s="43" t="s">
        <v>32</v>
      </c>
      <c r="K12" s="66" t="s">
        <v>64</v>
      </c>
      <c r="M12" s="34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 t="s">
        <v>4</v>
      </c>
      <c r="AK12"/>
      <c r="AL12"/>
      <c r="AM12"/>
      <c r="AN12"/>
      <c r="AO12"/>
      <c r="AP12"/>
      <c r="AR12" s="120">
        <v>8000</v>
      </c>
      <c r="AS12" s="179">
        <v>-1</v>
      </c>
      <c r="AT12" s="183">
        <f t="shared" si="0"/>
        <v>20</v>
      </c>
      <c r="AU12" s="136">
        <v>955</v>
      </c>
      <c r="AV12" s="113">
        <v>450</v>
      </c>
      <c r="AW12" s="113">
        <v>1265</v>
      </c>
      <c r="AX12" s="137">
        <v>760</v>
      </c>
      <c r="AY12" s="112">
        <v>520</v>
      </c>
      <c r="AZ12" s="113">
        <v>245</v>
      </c>
      <c r="BA12" s="17">
        <v>620</v>
      </c>
      <c r="BB12" s="138">
        <v>345</v>
      </c>
      <c r="BE12" s="161">
        <f t="shared" si="1"/>
        <v>907.10649999999987</v>
      </c>
      <c r="BF12" s="40">
        <f t="shared" si="2"/>
        <v>427.42949999999996</v>
      </c>
      <c r="BG12" s="148">
        <f t="shared" si="3"/>
        <v>1193.9855000000002</v>
      </c>
      <c r="BH12" s="149">
        <f t="shared" si="4"/>
        <v>714.30850000000009</v>
      </c>
      <c r="BN12" s="156">
        <v>2.1749999999999998</v>
      </c>
      <c r="BO12" s="157">
        <v>-926.375</v>
      </c>
      <c r="BP12" s="156">
        <v>1.0249999999999999</v>
      </c>
      <c r="BQ12" s="157">
        <v>-436.625</v>
      </c>
      <c r="BR12" s="148">
        <v>3.2250000000000001</v>
      </c>
      <c r="BS12" s="165">
        <v>-1524.625</v>
      </c>
      <c r="BT12" s="148">
        <v>2.0750000000000002</v>
      </c>
      <c r="BU12" s="149">
        <v>-1034.875</v>
      </c>
      <c r="BW12" s="216">
        <f t="shared" si="5"/>
        <v>528.99</v>
      </c>
      <c r="BX12" s="149">
        <f t="shared" si="6"/>
        <v>233.94450000000003</v>
      </c>
      <c r="BY12" s="148">
        <f t="shared" si="7"/>
        <v>646.23749999999995</v>
      </c>
      <c r="BZ12" s="149">
        <f t="shared" si="8"/>
        <v>351.19200000000001</v>
      </c>
      <c r="CC12" s="1" t="s">
        <v>304</v>
      </c>
      <c r="CD12" s="635">
        <f>(515.6950673*CD10)+644.2825112</f>
        <v>891.91108748184638</v>
      </c>
    </row>
    <row r="13" spans="2:83" ht="15" customHeight="1" thickTop="1" thickBot="1" x14ac:dyDescent="0.25">
      <c r="B13" s="62" t="s">
        <v>89</v>
      </c>
      <c r="C13" s="105">
        <v>110</v>
      </c>
      <c r="D13" s="59"/>
      <c r="F13" s="68" t="s">
        <v>69</v>
      </c>
      <c r="G13" s="5" t="s">
        <v>22</v>
      </c>
      <c r="H13" s="108">
        <f>Y98</f>
        <v>-4.3301270189221945</v>
      </c>
      <c r="M13" s="34"/>
      <c r="P13" s="2" t="s">
        <v>23</v>
      </c>
      <c r="Q13" s="309">
        <f t="shared" ref="Q13:AB13" si="9">IF($K$9&lt;=4000,Q9,Q11)</f>
        <v>222.45500000000001</v>
      </c>
      <c r="R13" s="310">
        <f t="shared" si="9"/>
        <v>476.50749999999999</v>
      </c>
      <c r="S13" s="311">
        <f t="shared" si="9"/>
        <v>249.05250000000001</v>
      </c>
      <c r="T13" s="310">
        <f t="shared" si="9"/>
        <v>529.16999999999996</v>
      </c>
      <c r="U13" s="311">
        <f t="shared" si="9"/>
        <v>280.11750000000001</v>
      </c>
      <c r="V13" s="312">
        <f t="shared" si="9"/>
        <v>586.29999999999995</v>
      </c>
      <c r="W13" s="300">
        <f t="shared" si="9"/>
        <v>308.84500000000003</v>
      </c>
      <c r="X13" s="308">
        <f t="shared" si="9"/>
        <v>562.89750000000004</v>
      </c>
      <c r="Y13" s="301">
        <f t="shared" si="9"/>
        <v>352.04</v>
      </c>
      <c r="Z13" s="308">
        <f t="shared" si="9"/>
        <v>632.15750000000003</v>
      </c>
      <c r="AA13" s="301">
        <f t="shared" si="9"/>
        <v>399.70249999999999</v>
      </c>
      <c r="AB13" s="326">
        <f t="shared" si="9"/>
        <v>705.88499999999999</v>
      </c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R13" s="117"/>
      <c r="AS13" s="180">
        <v>19</v>
      </c>
      <c r="AT13" s="186">
        <f t="shared" si="0"/>
        <v>40</v>
      </c>
      <c r="AU13" s="143">
        <v>1070</v>
      </c>
      <c r="AV13" s="121">
        <v>505</v>
      </c>
      <c r="AW13" s="121">
        <v>1455</v>
      </c>
      <c r="AX13" s="122">
        <v>890</v>
      </c>
      <c r="AY13" s="123">
        <v>580</v>
      </c>
      <c r="AZ13" s="121">
        <v>275</v>
      </c>
      <c r="BA13" s="144">
        <v>700</v>
      </c>
      <c r="BB13" s="145">
        <v>395</v>
      </c>
      <c r="BE13" s="162">
        <f t="shared" si="1"/>
        <v>1016.0510000000004</v>
      </c>
      <c r="BF13" s="168">
        <f t="shared" si="2"/>
        <v>479.67699999999991</v>
      </c>
      <c r="BG13" s="150">
        <f t="shared" si="3"/>
        <v>1371.8744999999999</v>
      </c>
      <c r="BH13" s="151">
        <f t="shared" si="4"/>
        <v>835.5005000000001</v>
      </c>
      <c r="BN13" s="158">
        <v>2.4500000000000002</v>
      </c>
      <c r="BO13" s="159">
        <v>-1049.25</v>
      </c>
      <c r="BP13" s="158">
        <v>1.1499999999999999</v>
      </c>
      <c r="BQ13" s="159">
        <v>-489.75</v>
      </c>
      <c r="BR13" s="150">
        <v>3.7749999999999999</v>
      </c>
      <c r="BS13" s="167">
        <v>-1810.375</v>
      </c>
      <c r="BT13" s="150">
        <v>2.4750000000000001</v>
      </c>
      <c r="BU13" s="151">
        <v>-1250.875</v>
      </c>
      <c r="BW13" s="172">
        <f t="shared" si="5"/>
        <v>558.43949999999995</v>
      </c>
      <c r="BX13" s="151">
        <f t="shared" si="6"/>
        <v>253.39400000000001</v>
      </c>
      <c r="BY13" s="150">
        <f t="shared" si="7"/>
        <v>685.13650000000007</v>
      </c>
      <c r="BZ13" s="151">
        <f t="shared" si="8"/>
        <v>380.09100000000001</v>
      </c>
    </row>
    <row r="14" spans="2:83" ht="15" customHeight="1" thickBot="1" x14ac:dyDescent="0.25">
      <c r="B14" s="62"/>
      <c r="C14" s="232" t="str">
        <f>IF(C13&gt;110,"max 110 Li","")</f>
        <v/>
      </c>
      <c r="D14" s="59"/>
      <c r="F14" s="33"/>
      <c r="M14" s="34"/>
      <c r="P14" s="2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R14"/>
      <c r="AS14"/>
      <c r="AT14"/>
      <c r="AU14"/>
      <c r="AV14"/>
      <c r="AW14"/>
      <c r="AX14"/>
      <c r="AY14"/>
      <c r="AZ14"/>
      <c r="CC14" s="2" t="s">
        <v>287</v>
      </c>
      <c r="CD14" s="839" t="str">
        <f>IF(CD10&lt;0.205,"Hors Centrage AV",IF(CD10&gt;0.564,"Hors Centrage AR",IF(CD10&lt;0.428,IF(CC10&gt;CD12,"Hors Centrage AV","Centrage Correct"),"Centrage Correct")))</f>
        <v>Centrage Correct</v>
      </c>
      <c r="CE14" s="839"/>
    </row>
    <row r="15" spans="2:83" ht="24.95" customHeight="1" thickBot="1" x14ac:dyDescent="0.25">
      <c r="B15" s="62"/>
      <c r="C15" s="87"/>
      <c r="D15" s="59" t="str">
        <f>IF(C15&gt;40,"max 40 Li","")</f>
        <v/>
      </c>
      <c r="F15" s="918" t="s">
        <v>118</v>
      </c>
      <c r="G15" s="919"/>
      <c r="H15" s="919"/>
      <c r="I15" s="919"/>
      <c r="J15" s="919"/>
      <c r="K15" s="919"/>
      <c r="L15" s="919"/>
      <c r="M15" s="920"/>
      <c r="N15" s="631"/>
      <c r="P15" s="2" t="s">
        <v>106</v>
      </c>
      <c r="Q15" s="17">
        <f>15-H9/1000*2</f>
        <v>14.148</v>
      </c>
      <c r="R15" s="2"/>
      <c r="S15" s="80" t="s">
        <v>107</v>
      </c>
      <c r="T15" s="30">
        <f>H10</f>
        <v>32</v>
      </c>
      <c r="U15"/>
      <c r="V15"/>
      <c r="W15"/>
      <c r="X15"/>
      <c r="Y15"/>
      <c r="Z15"/>
      <c r="AA15"/>
      <c r="AB15"/>
      <c r="AC15"/>
      <c r="AD15"/>
      <c r="AE15"/>
      <c r="AF15" t="s">
        <v>4</v>
      </c>
      <c r="AG15"/>
      <c r="AH15"/>
      <c r="AI15"/>
      <c r="AJ15"/>
      <c r="AK15"/>
      <c r="AL15"/>
      <c r="AM15"/>
      <c r="AN15"/>
      <c r="AO15"/>
      <c r="AP15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E15" s="868" t="s">
        <v>131</v>
      </c>
      <c r="BF15" s="869"/>
      <c r="BG15" s="869"/>
      <c r="BH15" s="870"/>
      <c r="BW15" s="868" t="s">
        <v>148</v>
      </c>
      <c r="BX15" s="869"/>
      <c r="BY15" s="869"/>
      <c r="BZ15" s="870"/>
    </row>
    <row r="16" spans="2:83" ht="15" customHeight="1" thickBot="1" x14ac:dyDescent="0.25">
      <c r="B16" s="62"/>
      <c r="C16" s="87"/>
      <c r="D16" s="59"/>
      <c r="F16" s="33"/>
      <c r="H16" s="227" t="s">
        <v>97</v>
      </c>
      <c r="I16" s="77" t="s">
        <v>3</v>
      </c>
      <c r="M16" s="34"/>
      <c r="P16" s="2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E16" s="876" t="s">
        <v>128</v>
      </c>
      <c r="BF16" s="877"/>
      <c r="BG16" s="881" t="s">
        <v>127</v>
      </c>
      <c r="BH16" s="882"/>
      <c r="BN16" s="926" t="s">
        <v>143</v>
      </c>
      <c r="BO16" s="927"/>
      <c r="BP16" s="923" t="s">
        <v>39</v>
      </c>
      <c r="BQ16" s="923"/>
      <c r="BR16" s="926" t="s">
        <v>143</v>
      </c>
      <c r="BS16" s="927"/>
      <c r="BT16" s="923" t="s">
        <v>39</v>
      </c>
      <c r="BU16" s="923"/>
      <c r="BW16" s="862" t="s">
        <v>144</v>
      </c>
      <c r="BX16" s="864"/>
      <c r="BY16" s="871" t="s">
        <v>147</v>
      </c>
      <c r="BZ16" s="863"/>
    </row>
    <row r="17" spans="2:78" ht="24.95" customHeight="1" thickBot="1" x14ac:dyDescent="0.25">
      <c r="B17" s="63" t="s">
        <v>92</v>
      </c>
      <c r="D17" s="44"/>
      <c r="F17" s="33"/>
      <c r="G17" s="67" t="s">
        <v>98</v>
      </c>
      <c r="H17" s="81">
        <f>W47</f>
        <v>586.22277436013701</v>
      </c>
      <c r="I17" s="82">
        <f>V47</f>
        <v>329.82997255210279</v>
      </c>
      <c r="J17" s="69" t="s">
        <v>48</v>
      </c>
      <c r="M17" s="34"/>
      <c r="P17" s="2"/>
      <c r="Q17" s="892" t="s">
        <v>45</v>
      </c>
      <c r="R17" s="892"/>
      <c r="S17" s="2" t="s">
        <v>5</v>
      </c>
      <c r="T17" s="2" t="s">
        <v>6</v>
      </c>
      <c r="U17"/>
      <c r="V17"/>
      <c r="W17" s="892" t="s">
        <v>44</v>
      </c>
      <c r="X17" s="892"/>
      <c r="Y17" s="2" t="s">
        <v>5</v>
      </c>
      <c r="Z17" s="2" t="s">
        <v>6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R17" s="202" t="s">
        <v>123</v>
      </c>
      <c r="AS17" s="935" t="s">
        <v>107</v>
      </c>
      <c r="AT17" s="935"/>
      <c r="AU17" s="924" t="s">
        <v>124</v>
      </c>
      <c r="AV17" s="924"/>
      <c r="AW17" s="924"/>
      <c r="AX17" s="924"/>
      <c r="AY17" s="924" t="s">
        <v>129</v>
      </c>
      <c r="AZ17" s="924"/>
      <c r="BA17" s="924"/>
      <c r="BB17" s="925"/>
      <c r="BD17" s="1">
        <v>0</v>
      </c>
      <c r="BE17" s="173">
        <f>IF(H10&gt;=15,BE6+(BE7-BE6)/20*(H10-15),BE5+(BE6-BE5)/20*(5+H10))</f>
        <v>530.73887500000001</v>
      </c>
      <c r="BF17" s="173">
        <f>IF(H10&gt;=15,BF6+(BF7-BF6)/20*(H10-15),BF5+(BF6-BF5)/20*(5+H10))</f>
        <v>252.53572500000001</v>
      </c>
      <c r="BG17" s="173">
        <f>IF(H10&gt;=15,BG6+(BG7-BG6)/20*(H10-15),BG5+(BG6-BG5)/20*(5+H10))</f>
        <v>630.94702500000017</v>
      </c>
      <c r="BH17" s="173">
        <f>IF(H10&gt;=15,BH6+(BH7-BH6)/20*(H10-15),BH5+(BH6-BH5)/20*(5+H10))</f>
        <v>352.743875</v>
      </c>
      <c r="BN17" s="153">
        <v>0.375</v>
      </c>
      <c r="BO17" s="154">
        <v>100.625</v>
      </c>
      <c r="BP17" s="155">
        <v>0.2</v>
      </c>
      <c r="BQ17" s="164">
        <v>2</v>
      </c>
      <c r="BR17" s="146">
        <v>0.47499999999999998</v>
      </c>
      <c r="BS17" s="166">
        <v>104.125</v>
      </c>
      <c r="BT17" s="146">
        <v>0.3</v>
      </c>
      <c r="BU17" s="147">
        <v>5.5</v>
      </c>
      <c r="BW17" s="219" t="s">
        <v>145</v>
      </c>
      <c r="BX17" s="220" t="s">
        <v>146</v>
      </c>
      <c r="BY17" s="219" t="s">
        <v>145</v>
      </c>
      <c r="BZ17" s="221" t="s">
        <v>146</v>
      </c>
    </row>
    <row r="18" spans="2:78" ht="15" customHeight="1" thickBot="1" x14ac:dyDescent="0.25">
      <c r="B18" s="64" t="s">
        <v>87</v>
      </c>
      <c r="C18" s="57">
        <f>SUM(C13:C17)</f>
        <v>110</v>
      </c>
      <c r="D18" s="44" t="s">
        <v>88</v>
      </c>
      <c r="F18" s="33"/>
      <c r="H18" s="228" t="s">
        <v>183</v>
      </c>
      <c r="I18" s="69" t="s">
        <v>184</v>
      </c>
      <c r="M18" s="34"/>
      <c r="P18" s="2"/>
      <c r="Q18" s="839" t="s">
        <v>29</v>
      </c>
      <c r="R18" s="839"/>
      <c r="S18" s="313">
        <f>IF(T15&gt;=Q15,S13+((U13-S13)/20)*(T15-Q15),S13-((S13-Q13)/20)*(Q15-T15))</f>
        <v>276.78111899999999</v>
      </c>
      <c r="T18" s="314">
        <f>IF(T15&gt;=Q15,T13+((V13-T13)/20)*(T15-Q15),T13-((T13-R13)/20)*(Q15-T15))</f>
        <v>580.16423799999995</v>
      </c>
      <c r="U18"/>
      <c r="V18"/>
      <c r="W18" s="839" t="s">
        <v>29</v>
      </c>
      <c r="X18" s="839"/>
      <c r="Y18" s="362">
        <f>IF(T15&gt;=Q15,Y13+((AA13-Y13)/20)*(T15-Q15),Y13-((Y13-W13)/20)*(Q15-T15))</f>
        <v>394.58354750000001</v>
      </c>
      <c r="Z18" s="404">
        <f>IF(T15&gt;=Q15,Z13+((AB13-Z13)/20)*(T15-Q15),Z13-((Z13-X13)/20)*(Q15-T15))</f>
        <v>697.96666649999997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R18" s="139"/>
      <c r="AS18" s="23"/>
      <c r="AT18" s="213"/>
      <c r="AU18" s="936" t="s">
        <v>38</v>
      </c>
      <c r="AV18" s="937"/>
      <c r="AW18" s="936" t="s">
        <v>39</v>
      </c>
      <c r="AX18" s="922"/>
      <c r="AY18" s="937" t="s">
        <v>38</v>
      </c>
      <c r="AZ18" s="937"/>
      <c r="BA18" s="936" t="s">
        <v>39</v>
      </c>
      <c r="BB18" s="922"/>
      <c r="BD18" s="1">
        <v>4</v>
      </c>
      <c r="BE18" s="173">
        <f>IF(H10&gt;=7,BE9+(BE10-BE9)/20*(H10-7),BE8+(BE9-BE8)/20*(13+H10))</f>
        <v>733.51687500000003</v>
      </c>
      <c r="BF18" s="173">
        <f>IF(H10&gt;=7,BF9+(BF10-BF9)/20*(H10-7),BF8+(BF9-BF8)/20*(13+H10))</f>
        <v>356.28299999999996</v>
      </c>
      <c r="BG18" s="173">
        <f>IF(H10&gt;=7,BG9+(BG10-BG9)/20*(H10-7),BG8+(BG9-BG8)/20*(13+H10))</f>
        <v>937.98912500000017</v>
      </c>
      <c r="BH18" s="173">
        <f>IF(H10&gt;=7,BH9+(BH10-BH9)/20*(H10-7),BH8+(BH9-BH8)/20*(13+H10))</f>
        <v>548.36900000000003</v>
      </c>
      <c r="BN18" s="156">
        <v>0.4</v>
      </c>
      <c r="BO18" s="157">
        <v>104</v>
      </c>
      <c r="BP18" s="156">
        <v>0.22500000000000001</v>
      </c>
      <c r="BQ18" s="157">
        <v>-4.625</v>
      </c>
      <c r="BR18" s="148">
        <v>0.5</v>
      </c>
      <c r="BS18" s="165">
        <v>112.5</v>
      </c>
      <c r="BT18" s="148">
        <v>0.32500000000000001</v>
      </c>
      <c r="BU18" s="149">
        <v>3.875</v>
      </c>
      <c r="BV18" s="43">
        <v>0</v>
      </c>
      <c r="BW18" s="173">
        <f>IF(H10&gt;=15,BW6+(BW7-BW6)/20*(H10-15),BW5+(BW6-BW5)/20*(H10+5))</f>
        <v>458.19200000000001</v>
      </c>
      <c r="BX18" s="173">
        <f>IF(H10&gt;=15,BX6+(BX7-BX6)/20*(H10-15),BX5+(BX6-BX5)/20*(H10+5))</f>
        <v>197.327575</v>
      </c>
      <c r="BY18" s="173">
        <f>IF(H10&gt;=15,BY6+(BY7-BY6)/20*(H10-15),BY5+(BY6-BY5)/20*(H10+5))</f>
        <v>555.24</v>
      </c>
      <c r="BZ18" s="173">
        <f>IF(H10&gt;=15,BZ6+(BZ7-BZ6)/20*(H10-15),BZ5+(BZ6-BZ5)/20*(H10+5))</f>
        <v>294.37557500000003</v>
      </c>
    </row>
    <row r="19" spans="2:78" ht="24.95" customHeight="1" thickBot="1" x14ac:dyDescent="0.25">
      <c r="B19" s="63" t="s">
        <v>92</v>
      </c>
      <c r="D19" s="51"/>
      <c r="F19" s="918" t="s">
        <v>119</v>
      </c>
      <c r="G19" s="919"/>
      <c r="H19" s="919"/>
      <c r="I19" s="919"/>
      <c r="J19" s="919"/>
      <c r="K19" s="919"/>
      <c r="L19" s="919"/>
      <c r="M19" s="920"/>
      <c r="N19" s="631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R19" s="203" t="s">
        <v>125</v>
      </c>
      <c r="AS19" s="204" t="s">
        <v>126</v>
      </c>
      <c r="AT19" s="214" t="s">
        <v>132</v>
      </c>
      <c r="AU19" s="938" t="s">
        <v>139</v>
      </c>
      <c r="AV19" s="939"/>
      <c r="AW19" s="938" t="s">
        <v>140</v>
      </c>
      <c r="AX19" s="940"/>
      <c r="AY19" s="939" t="s">
        <v>139</v>
      </c>
      <c r="AZ19" s="939"/>
      <c r="BA19" s="938" t="s">
        <v>140</v>
      </c>
      <c r="BB19" s="940"/>
      <c r="BD19" s="1">
        <v>8</v>
      </c>
      <c r="BE19" s="173">
        <f>IF(H10&gt;=-1,BE12+(BE13-BE12)/20*(H10-(-1)),BE11+(BE12-BE11)/20*(21+H10))</f>
        <v>1086.8649250000008</v>
      </c>
      <c r="BF19" s="173">
        <f>IF(H10&gt;=-1,BF12+(BF13-BF12)/20*(H10-(-1)),BF11+(BF12-BF11)/20*(21+H10))</f>
        <v>513.63787499999989</v>
      </c>
      <c r="BG19" s="173">
        <f>IF(H10&gt;=-1,BG12+(BG13-BG12)/20*(H10-(-1)),BG11+(BG12-BG11)/20*(21+H10))</f>
        <v>1487.5023499999998</v>
      </c>
      <c r="BH19" s="173">
        <f>IF(H10&gt;=-1,BH12+(BH13-BH12)/20*(H10-(-1)),BH11+(BH12-BH11)/20*(21+H10))</f>
        <v>914.27530000000013</v>
      </c>
      <c r="BN19" s="156">
        <v>0.4</v>
      </c>
      <c r="BO19" s="157">
        <v>124</v>
      </c>
      <c r="BP19" s="156">
        <v>0.25</v>
      </c>
      <c r="BQ19" s="157">
        <v>-11.25</v>
      </c>
      <c r="BR19" s="148">
        <v>0.5</v>
      </c>
      <c r="BS19" s="165">
        <v>137.5</v>
      </c>
      <c r="BT19" s="148">
        <v>0.35</v>
      </c>
      <c r="BU19" s="149">
        <v>2.25</v>
      </c>
      <c r="BV19" s="43">
        <v>4</v>
      </c>
      <c r="BW19" s="173">
        <f>IF(H10&gt;=7,BW9+(BW10-BW9)/20*(H10-7),BW8+(BW9-BW8)/20*(H10+13))</f>
        <v>510.65287499999999</v>
      </c>
      <c r="BX19" s="173">
        <f>IF(H10&gt;=7,BX9+(BX10-BX9)/20*(H10-7),BX8+(BX9-BX8)/20*(H10+13))</f>
        <v>227.55687500000005</v>
      </c>
      <c r="BY19" s="173">
        <f>IF(H10&gt;=7,BY9+(BY10-BY9)/20*(H10-7),BY8+(BY9-BY8)/20*(H10+13))</f>
        <v>625.26274999999998</v>
      </c>
      <c r="BZ19" s="173">
        <f>IF(H10&gt;=7,BZ9+(BZ10-BZ9)/20*(H10-7),BZ8+(BZ9-BZ8)/20*(H10+13))</f>
        <v>342.16674999999998</v>
      </c>
    </row>
    <row r="20" spans="2:78" ht="15" customHeight="1" thickBot="1" x14ac:dyDescent="0.25">
      <c r="B20" s="64" t="s">
        <v>87</v>
      </c>
      <c r="C20" s="50">
        <f>C18*0.718</f>
        <v>78.97999999999999</v>
      </c>
      <c r="D20" s="55" t="s">
        <v>65</v>
      </c>
      <c r="F20" s="33"/>
      <c r="H20" s="228" t="s">
        <v>99</v>
      </c>
      <c r="I20" s="99" t="s">
        <v>3</v>
      </c>
      <c r="M20" s="34"/>
      <c r="P20"/>
      <c r="Q20"/>
      <c r="R20"/>
      <c r="S20" s="2"/>
      <c r="T20" s="2"/>
      <c r="U20"/>
      <c r="V20"/>
      <c r="W20"/>
      <c r="X20"/>
      <c r="Y20" s="2"/>
      <c r="Z20" s="2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R20" s="6"/>
      <c r="AS20" s="4"/>
      <c r="AT20" s="4"/>
      <c r="AU20" s="128" t="s">
        <v>141</v>
      </c>
      <c r="AV20" s="205" t="s">
        <v>142</v>
      </c>
      <c r="AW20" s="128" t="s">
        <v>141</v>
      </c>
      <c r="AX20" s="130" t="s">
        <v>142</v>
      </c>
      <c r="AY20" s="206" t="s">
        <v>141</v>
      </c>
      <c r="AZ20" s="205" t="s">
        <v>142</v>
      </c>
      <c r="BA20" s="128" t="s">
        <v>141</v>
      </c>
      <c r="BB20" s="130" t="s">
        <v>142</v>
      </c>
      <c r="BN20" s="156">
        <v>0.42499999999999999</v>
      </c>
      <c r="BO20" s="157">
        <v>97.375</v>
      </c>
      <c r="BP20" s="156">
        <v>0.25</v>
      </c>
      <c r="BQ20" s="157">
        <v>-16.25</v>
      </c>
      <c r="BR20" s="148">
        <v>0.52500000000000002</v>
      </c>
      <c r="BS20" s="165">
        <v>110.875</v>
      </c>
      <c r="BT20" s="148">
        <v>0.35</v>
      </c>
      <c r="BU20" s="149">
        <v>-2.75</v>
      </c>
      <c r="BV20" s="43">
        <v>8</v>
      </c>
      <c r="BW20" s="173">
        <f>IF(H10&gt;=-1,BW12+(BW13-BW12)/20*(H10+1),BW11+(BW12-BW11)/20*(21+H10))</f>
        <v>577.5816749999999</v>
      </c>
      <c r="BX20" s="173">
        <f>IF(H10&gt;=-1,BX12+(BX13-BX12)/20*(H10+1),BX11+(BX12-BX11)/20*(21+H10))</f>
        <v>266.03617499999996</v>
      </c>
      <c r="BY20" s="173">
        <f>IF(H10&gt;=-1,BY12+(BY13-BY12)/20*(H10+1),BY11+(BY12-BY11)/20*(21+H10))</f>
        <v>710.4208500000002</v>
      </c>
      <c r="BZ20" s="173">
        <f>IF(H10&gt;=-1,BZ12+(BZ13-BZ12)/20*(H10+1),BZ11+(BZ12-BZ11)/20*(21+H10))</f>
        <v>398.87535000000003</v>
      </c>
    </row>
    <row r="21" spans="2:78" ht="15" customHeight="1" thickBot="1" x14ac:dyDescent="0.25">
      <c r="B21" s="62"/>
      <c r="D21" s="51"/>
      <c r="F21" s="33"/>
      <c r="H21" s="228" t="s">
        <v>101</v>
      </c>
      <c r="I21" s="99" t="s">
        <v>100</v>
      </c>
      <c r="M21" s="34"/>
      <c r="P21"/>
      <c r="Q21"/>
      <c r="R21"/>
      <c r="S21" s="45"/>
      <c r="T21" s="45"/>
      <c r="U21"/>
      <c r="V21"/>
      <c r="W21"/>
      <c r="X21"/>
      <c r="Y21" s="45"/>
      <c r="Z21" s="45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R21" s="114"/>
      <c r="AS21" s="176">
        <v>-5</v>
      </c>
      <c r="AT21" s="199">
        <f t="shared" ref="AT21:AT29" si="10">AS21+21</f>
        <v>16</v>
      </c>
      <c r="AU21" s="132">
        <v>425</v>
      </c>
      <c r="AV21" s="118">
        <v>175</v>
      </c>
      <c r="AW21" s="132">
        <v>515</v>
      </c>
      <c r="AX21" s="118">
        <v>265</v>
      </c>
      <c r="AY21" s="132">
        <v>350</v>
      </c>
      <c r="AZ21" s="118">
        <v>135</v>
      </c>
      <c r="BA21" s="207">
        <v>420</v>
      </c>
      <c r="BB21" s="135">
        <v>205</v>
      </c>
      <c r="BE21" s="868" t="s">
        <v>133</v>
      </c>
      <c r="BF21" s="869"/>
      <c r="BG21" s="869"/>
      <c r="BH21" s="870"/>
      <c r="BN21" s="156">
        <v>0.45</v>
      </c>
      <c r="BO21" s="157">
        <v>100.75</v>
      </c>
      <c r="BP21" s="156">
        <v>0.25</v>
      </c>
      <c r="BQ21" s="157">
        <v>-1.25</v>
      </c>
      <c r="BR21" s="148">
        <v>0.55000000000000004</v>
      </c>
      <c r="BS21" s="165">
        <v>119.25</v>
      </c>
      <c r="BT21" s="148">
        <v>0.35</v>
      </c>
      <c r="BU21" s="149">
        <v>17.25</v>
      </c>
      <c r="BW21" s="5"/>
      <c r="BX21" s="5"/>
      <c r="BY21" s="5"/>
      <c r="BZ21" s="5"/>
    </row>
    <row r="22" spans="2:78" ht="15" customHeight="1" thickBot="1" x14ac:dyDescent="0.25">
      <c r="B22" s="64" t="s">
        <v>93</v>
      </c>
      <c r="C22" s="88">
        <f>C5+SUM(C7:C11)+C20</f>
        <v>842.98</v>
      </c>
      <c r="D22" s="55" t="s">
        <v>65</v>
      </c>
      <c r="F22" s="33"/>
      <c r="H22" s="228" t="s">
        <v>103</v>
      </c>
      <c r="I22" s="99" t="s">
        <v>102</v>
      </c>
      <c r="M22" s="34"/>
      <c r="P22" s="16" t="s">
        <v>21</v>
      </c>
      <c r="Q22"/>
      <c r="R22"/>
      <c r="S22"/>
      <c r="T22"/>
      <c r="U22"/>
      <c r="V22"/>
      <c r="W22"/>
      <c r="X22"/>
      <c r="Y22" t="s">
        <v>4</v>
      </c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R22" s="116">
        <v>0</v>
      </c>
      <c r="AS22" s="177">
        <v>15</v>
      </c>
      <c r="AT22" s="197">
        <f t="shared" si="10"/>
        <v>36</v>
      </c>
      <c r="AU22" s="136">
        <v>450</v>
      </c>
      <c r="AV22" s="137">
        <v>190</v>
      </c>
      <c r="AW22" s="136">
        <v>545</v>
      </c>
      <c r="AX22" s="137">
        <v>285</v>
      </c>
      <c r="AY22" s="136">
        <v>370</v>
      </c>
      <c r="AZ22" s="137">
        <v>145</v>
      </c>
      <c r="BA22" s="190">
        <v>445</v>
      </c>
      <c r="BB22" s="138">
        <v>220</v>
      </c>
      <c r="BE22" s="876" t="s">
        <v>128</v>
      </c>
      <c r="BF22" s="877"/>
      <c r="BG22" s="881" t="s">
        <v>127</v>
      </c>
      <c r="BH22" s="882"/>
      <c r="BN22" s="156">
        <v>0.47499999999999998</v>
      </c>
      <c r="BO22" s="157">
        <v>104.125</v>
      </c>
      <c r="BP22" s="156">
        <v>0.27500000000000002</v>
      </c>
      <c r="BQ22" s="157">
        <v>-7.875</v>
      </c>
      <c r="BR22" s="148">
        <v>0.6</v>
      </c>
      <c r="BS22" s="165">
        <v>111</v>
      </c>
      <c r="BT22" s="148">
        <v>0.4</v>
      </c>
      <c r="BU22" s="149">
        <v>-1</v>
      </c>
      <c r="BW22" s="868" t="s">
        <v>149</v>
      </c>
      <c r="BX22" s="869"/>
      <c r="BY22" s="869"/>
      <c r="BZ22" s="870"/>
    </row>
    <row r="23" spans="2:78" ht="24.95" customHeight="1" thickBot="1" x14ac:dyDescent="0.25">
      <c r="B23" s="33"/>
      <c r="C23" s="60" t="str">
        <f>IF(C22&gt;865,"max 865 Kg","")</f>
        <v/>
      </c>
      <c r="D23" s="34"/>
      <c r="F23" s="912" t="s">
        <v>104</v>
      </c>
      <c r="G23" s="913"/>
      <c r="H23" s="81">
        <f>W93</f>
        <v>410.29460346028424</v>
      </c>
      <c r="I23" s="82">
        <f>Q93</f>
        <v>177.48409097325001</v>
      </c>
      <c r="J23" s="69" t="s">
        <v>48</v>
      </c>
      <c r="M23" s="34"/>
      <c r="P23"/>
      <c r="Q23" s="893" t="s">
        <v>10</v>
      </c>
      <c r="R23" s="894"/>
      <c r="S23" s="894"/>
      <c r="T23" s="894"/>
      <c r="U23" s="894"/>
      <c r="V23" s="895"/>
      <c r="W23" s="893" t="s">
        <v>11</v>
      </c>
      <c r="X23" s="894"/>
      <c r="Y23" s="894"/>
      <c r="Z23" s="894"/>
      <c r="AA23" s="894"/>
      <c r="AB23" s="895"/>
      <c r="AC23" s="2"/>
      <c r="AD23" s="852" t="s">
        <v>10</v>
      </c>
      <c r="AE23" s="853"/>
      <c r="AF23" s="853"/>
      <c r="AG23" s="853"/>
      <c r="AH23" s="853"/>
      <c r="AI23" s="854"/>
      <c r="AJ23" s="855" t="s">
        <v>11</v>
      </c>
      <c r="AK23" s="856"/>
      <c r="AL23" s="856"/>
      <c r="AM23" s="856"/>
      <c r="AN23" s="856"/>
      <c r="AO23" s="857"/>
      <c r="AP23" s="2"/>
      <c r="AR23" s="119"/>
      <c r="AS23" s="178">
        <v>35</v>
      </c>
      <c r="AT23" s="198">
        <f t="shared" si="10"/>
        <v>56</v>
      </c>
      <c r="AU23" s="139">
        <v>470</v>
      </c>
      <c r="AV23" s="140">
        <v>205</v>
      </c>
      <c r="AW23" s="139">
        <v>570</v>
      </c>
      <c r="AX23" s="140">
        <v>305</v>
      </c>
      <c r="AY23" s="139">
        <v>390</v>
      </c>
      <c r="AZ23" s="140">
        <v>155</v>
      </c>
      <c r="BA23" s="10">
        <v>470</v>
      </c>
      <c r="BB23" s="142">
        <v>235</v>
      </c>
      <c r="BE23" s="173">
        <f>IF($K$9&lt;4000,BE17+(BE18-BE17)/4000*$K$9,BE18+(BE19-BE18)/4000*($K$9-4000))</f>
        <v>552.33473200000003</v>
      </c>
      <c r="BF23" s="173">
        <f>IF($K$9&lt;4000,BF17+(BF18-BF17)/4000*$K$9,BF18+(BF19-BF18)/4000*($K$9-4000))</f>
        <v>263.58480978750003</v>
      </c>
      <c r="BG23" s="173">
        <f>IF($K$9&lt;4000,BG17+(BG18-BG17)/4000*$K$9,BG18+(BG19-BG18)/4000*($K$9-4000))</f>
        <v>663.6470086500002</v>
      </c>
      <c r="BH23" s="173">
        <f>IF($K$9&lt;4000,BH17+(BH18-BH17)/4000*$K$9,BH18+(BH19-BH18)/4000*($K$9-4000))</f>
        <v>373.57795081250003</v>
      </c>
      <c r="BN23" s="156">
        <v>0.47499999999999998</v>
      </c>
      <c r="BO23" s="157">
        <v>99.125</v>
      </c>
      <c r="BP23" s="156">
        <v>0.27500000000000002</v>
      </c>
      <c r="BQ23" s="157">
        <v>-12.875</v>
      </c>
      <c r="BR23" s="148">
        <v>0.57499999999999996</v>
      </c>
      <c r="BS23" s="165">
        <v>122.625</v>
      </c>
      <c r="BT23" s="148">
        <v>0.375</v>
      </c>
      <c r="BU23" s="149">
        <v>10.625</v>
      </c>
      <c r="BW23" s="865" t="s">
        <v>144</v>
      </c>
      <c r="BX23" s="866"/>
      <c r="BY23" s="872" t="s">
        <v>147</v>
      </c>
      <c r="BZ23" s="867"/>
    </row>
    <row r="24" spans="2:78" ht="15" customHeight="1" thickBot="1" x14ac:dyDescent="0.25">
      <c r="B24" s="632" t="s">
        <v>287</v>
      </c>
      <c r="C24" s="634">
        <f>CD10</f>
        <v>0.4801841087570286</v>
      </c>
      <c r="D24" s="633" t="s">
        <v>170</v>
      </c>
      <c r="F24" s="33"/>
      <c r="M24" s="34"/>
      <c r="P24"/>
      <c r="Q24" s="896" t="s">
        <v>13</v>
      </c>
      <c r="R24" s="897"/>
      <c r="S24" s="897" t="s">
        <v>14</v>
      </c>
      <c r="T24" s="897"/>
      <c r="U24" s="898" t="s">
        <v>15</v>
      </c>
      <c r="V24" s="899"/>
      <c r="W24" s="896" t="s">
        <v>13</v>
      </c>
      <c r="X24" s="897"/>
      <c r="Y24" s="897" t="s">
        <v>14</v>
      </c>
      <c r="Z24" s="897"/>
      <c r="AA24" s="898" t="s">
        <v>15</v>
      </c>
      <c r="AB24" s="899"/>
      <c r="AC24" s="2"/>
      <c r="AD24" s="858" t="s">
        <v>13</v>
      </c>
      <c r="AE24" s="859"/>
      <c r="AF24" s="859" t="s">
        <v>14</v>
      </c>
      <c r="AG24" s="859"/>
      <c r="AH24" s="860" t="s">
        <v>15</v>
      </c>
      <c r="AI24" s="861"/>
      <c r="AJ24" s="858" t="s">
        <v>13</v>
      </c>
      <c r="AK24" s="859"/>
      <c r="AL24" s="859" t="s">
        <v>14</v>
      </c>
      <c r="AM24" s="859"/>
      <c r="AN24" s="860" t="s">
        <v>15</v>
      </c>
      <c r="AO24" s="861"/>
      <c r="AP24" s="2"/>
      <c r="AR24" s="114"/>
      <c r="AS24" s="176">
        <v>-13</v>
      </c>
      <c r="AT24" s="199">
        <f t="shared" si="10"/>
        <v>8</v>
      </c>
      <c r="AU24" s="132">
        <v>465</v>
      </c>
      <c r="AV24" s="118">
        <v>200</v>
      </c>
      <c r="AW24" s="132">
        <v>565</v>
      </c>
      <c r="AX24" s="118">
        <v>300</v>
      </c>
      <c r="AY24" s="132">
        <v>380</v>
      </c>
      <c r="AZ24" s="118">
        <v>150</v>
      </c>
      <c r="BA24" s="207">
        <v>460</v>
      </c>
      <c r="BB24" s="135">
        <v>230</v>
      </c>
      <c r="BN24" s="156">
        <v>0.5</v>
      </c>
      <c r="BO24" s="157">
        <v>107.5</v>
      </c>
      <c r="BP24" s="156">
        <v>0.27500000000000002</v>
      </c>
      <c r="BQ24" s="157">
        <v>2.125</v>
      </c>
      <c r="BR24" s="148">
        <v>0.625</v>
      </c>
      <c r="BS24" s="165">
        <v>119.375</v>
      </c>
      <c r="BT24" s="148">
        <v>0.4</v>
      </c>
      <c r="BU24" s="149">
        <v>14</v>
      </c>
      <c r="BW24" s="217" t="s">
        <v>145</v>
      </c>
      <c r="BX24" s="218" t="s">
        <v>146</v>
      </c>
      <c r="BY24" s="217" t="s">
        <v>145</v>
      </c>
      <c r="BZ24" s="222" t="s">
        <v>146</v>
      </c>
    </row>
    <row r="25" spans="2:78" ht="24.95" customHeight="1" thickBot="1" x14ac:dyDescent="0.25">
      <c r="B25" s="847" t="str">
        <f>CD14</f>
        <v>Centrage Correct</v>
      </c>
      <c r="C25" s="848"/>
      <c r="D25" s="849"/>
      <c r="F25" s="910" t="s">
        <v>105</v>
      </c>
      <c r="G25" s="911"/>
      <c r="H25" s="81">
        <f>Z93</f>
        <v>497.68744892306853</v>
      </c>
      <c r="I25" s="82">
        <f>T93</f>
        <v>264.87693643603427</v>
      </c>
      <c r="J25" s="69" t="s">
        <v>48</v>
      </c>
      <c r="M25" s="34"/>
      <c r="P25" s="8" t="s">
        <v>1</v>
      </c>
      <c r="Q25" s="339" t="s">
        <v>5</v>
      </c>
      <c r="R25" s="299" t="s">
        <v>12</v>
      </c>
      <c r="S25" s="306" t="s">
        <v>5</v>
      </c>
      <c r="T25" s="299" t="s">
        <v>12</v>
      </c>
      <c r="U25" s="306" t="s">
        <v>5</v>
      </c>
      <c r="V25" s="340" t="s">
        <v>12</v>
      </c>
      <c r="W25" s="346" t="s">
        <v>5</v>
      </c>
      <c r="X25" s="190" t="s">
        <v>12</v>
      </c>
      <c r="Y25" s="331" t="s">
        <v>5</v>
      </c>
      <c r="Z25" s="190" t="s">
        <v>12</v>
      </c>
      <c r="AA25" s="329" t="s">
        <v>5</v>
      </c>
      <c r="AB25" s="340" t="s">
        <v>12</v>
      </c>
      <c r="AC25" s="2"/>
      <c r="AD25" s="865" t="s">
        <v>5</v>
      </c>
      <c r="AE25" s="866"/>
      <c r="AF25" s="865" t="s">
        <v>5</v>
      </c>
      <c r="AG25" s="867"/>
      <c r="AH25" s="866" t="s">
        <v>5</v>
      </c>
      <c r="AI25" s="867"/>
      <c r="AJ25" s="850" t="s">
        <v>5</v>
      </c>
      <c r="AK25" s="851"/>
      <c r="AL25" s="850" t="s">
        <v>5</v>
      </c>
      <c r="AM25" s="851"/>
      <c r="AN25" s="850" t="s">
        <v>5</v>
      </c>
      <c r="AO25" s="851"/>
      <c r="AP25" s="2"/>
      <c r="AR25" s="120">
        <v>4000</v>
      </c>
      <c r="AS25" s="179">
        <v>7</v>
      </c>
      <c r="AT25" s="197">
        <f t="shared" si="10"/>
        <v>28</v>
      </c>
      <c r="AU25" s="136">
        <v>490</v>
      </c>
      <c r="AV25" s="137">
        <v>215</v>
      </c>
      <c r="AW25" s="136">
        <v>595</v>
      </c>
      <c r="AX25" s="137">
        <v>320</v>
      </c>
      <c r="AY25" s="136">
        <v>400</v>
      </c>
      <c r="AZ25" s="137">
        <v>165</v>
      </c>
      <c r="BA25" s="190">
        <v>485</v>
      </c>
      <c r="BB25" s="138">
        <v>250</v>
      </c>
      <c r="BE25" s="883" t="s">
        <v>134</v>
      </c>
      <c r="BF25" s="884"/>
      <c r="BN25" s="158">
        <v>0.52500000000000002</v>
      </c>
      <c r="BO25" s="159">
        <v>115.875</v>
      </c>
      <c r="BP25" s="158">
        <v>0.3</v>
      </c>
      <c r="BQ25" s="159">
        <v>0.5</v>
      </c>
      <c r="BR25" s="150">
        <v>0.67500000000000004</v>
      </c>
      <c r="BS25" s="167">
        <v>116.125</v>
      </c>
      <c r="BT25" s="150">
        <v>0.45</v>
      </c>
      <c r="BU25" s="151">
        <v>0.75</v>
      </c>
      <c r="BW25" s="223">
        <f>IF($K$9&lt;=4000,BW18+(BW19-BW18)/4000*$K$9,BW19+(BW20-BW19)/4000*($K$9-4000))</f>
        <v>463.77908318750002</v>
      </c>
      <c r="BX25" s="223">
        <f>IF($K$9&lt;=4000,BX18+(BX19-BX18)/4000*$K$9,BX19+(BX20-BX19)/4000*($K$9-4000))</f>
        <v>200.54699545</v>
      </c>
      <c r="BY25" s="223">
        <f>IF($K$9&lt;=4000,BY18+(BY19-BY18)/4000*$K$9,BY19+(BY20-BY19)/4000*($K$9-4000))</f>
        <v>562.69742287500003</v>
      </c>
      <c r="BZ25" s="223">
        <f>IF($K$9&lt;=4000,BZ18+(BZ19-BZ18)/4000*$K$9,BZ19+(BZ20-BZ19)/4000*($K$9-4000))</f>
        <v>299.46533513750001</v>
      </c>
    </row>
    <row r="26" spans="2:78" ht="15" customHeight="1" thickTop="1" thickBot="1" x14ac:dyDescent="0.25">
      <c r="F26" s="52"/>
      <c r="G26" s="53"/>
      <c r="H26" s="53"/>
      <c r="I26" s="53"/>
      <c r="J26" s="53"/>
      <c r="K26" s="53"/>
      <c r="L26" s="53"/>
      <c r="M26" s="54"/>
      <c r="P26" s="1">
        <v>0</v>
      </c>
      <c r="Q26" s="341">
        <v>120</v>
      </c>
      <c r="R26" s="4">
        <v>270</v>
      </c>
      <c r="S26" s="319">
        <v>135</v>
      </c>
      <c r="T26" s="2">
        <v>295</v>
      </c>
      <c r="U26" s="319">
        <v>150</v>
      </c>
      <c r="V26" s="342">
        <v>325</v>
      </c>
      <c r="W26" s="347">
        <v>150</v>
      </c>
      <c r="X26" s="20">
        <v>300</v>
      </c>
      <c r="Y26" s="332">
        <v>170</v>
      </c>
      <c r="Z26" s="19">
        <v>330</v>
      </c>
      <c r="AA26" s="330">
        <v>190</v>
      </c>
      <c r="AB26" s="342">
        <v>365</v>
      </c>
      <c r="AC26" s="2" t="s">
        <v>187</v>
      </c>
      <c r="AD26" s="570">
        <v>120</v>
      </c>
      <c r="AE26" s="182">
        <v>0.01</v>
      </c>
      <c r="AF26" s="582">
        <v>135</v>
      </c>
      <c r="AG26" s="211">
        <v>1.125E-2</v>
      </c>
      <c r="AH26" s="581">
        <v>150</v>
      </c>
      <c r="AI26" s="211">
        <v>1.2500000000000001E-2</v>
      </c>
      <c r="AJ26" s="571">
        <v>150</v>
      </c>
      <c r="AK26" s="583">
        <v>1.4999999999999999E-2</v>
      </c>
      <c r="AL26" s="579">
        <v>170</v>
      </c>
      <c r="AM26" s="595">
        <v>1.6250000000000001E-2</v>
      </c>
      <c r="AN26" s="572">
        <v>190</v>
      </c>
      <c r="AO26" s="595">
        <v>1.8749999999999999E-2</v>
      </c>
      <c r="AP26" s="2"/>
      <c r="AR26" s="117"/>
      <c r="AS26" s="180">
        <v>27</v>
      </c>
      <c r="AT26" s="200">
        <f t="shared" si="10"/>
        <v>48</v>
      </c>
      <c r="AU26" s="208">
        <v>515</v>
      </c>
      <c r="AV26" s="145">
        <v>230</v>
      </c>
      <c r="AW26" s="208">
        <v>630</v>
      </c>
      <c r="AX26" s="145">
        <v>345</v>
      </c>
      <c r="AY26" s="208">
        <v>420</v>
      </c>
      <c r="AZ26" s="145">
        <v>175</v>
      </c>
      <c r="BA26" s="209">
        <v>510</v>
      </c>
      <c r="BB26" s="145">
        <v>265</v>
      </c>
      <c r="BE26" s="188" t="s">
        <v>6</v>
      </c>
      <c r="BF26" s="189" t="s">
        <v>5</v>
      </c>
      <c r="BW26" s="5" t="s">
        <v>4</v>
      </c>
      <c r="BX26" s="5"/>
    </row>
    <row r="27" spans="2:78" ht="15" customHeight="1" thickTop="1" thickBot="1" x14ac:dyDescent="0.25">
      <c r="P27" s="27">
        <v>4000</v>
      </c>
      <c r="Q27" s="343">
        <v>160</v>
      </c>
      <c r="R27" s="2">
        <v>350</v>
      </c>
      <c r="S27" s="319">
        <v>180</v>
      </c>
      <c r="T27" s="2">
        <v>390</v>
      </c>
      <c r="U27" s="319">
        <v>200</v>
      </c>
      <c r="V27" s="342">
        <v>430</v>
      </c>
      <c r="W27" s="348">
        <v>210</v>
      </c>
      <c r="X27" s="19">
        <v>400</v>
      </c>
      <c r="Y27" s="332">
        <v>235</v>
      </c>
      <c r="Z27" s="19">
        <v>445</v>
      </c>
      <c r="AA27" s="330">
        <v>265</v>
      </c>
      <c r="AB27" s="342">
        <v>495</v>
      </c>
      <c r="AC27" s="562" t="s">
        <v>211</v>
      </c>
      <c r="AD27" s="124">
        <v>105</v>
      </c>
      <c r="AE27" s="175">
        <v>1.375E-2</v>
      </c>
      <c r="AF27" s="391">
        <v>115</v>
      </c>
      <c r="AG27" s="563">
        <v>1.6250000000000001E-2</v>
      </c>
      <c r="AH27" s="327">
        <v>125</v>
      </c>
      <c r="AI27" s="563">
        <v>1.8749999999999999E-2</v>
      </c>
      <c r="AJ27" s="564">
        <v>120</v>
      </c>
      <c r="AK27" s="584">
        <v>2.2499999999999999E-2</v>
      </c>
      <c r="AL27" s="580">
        <v>125</v>
      </c>
      <c r="AM27" s="596">
        <v>2.75E-2</v>
      </c>
      <c r="AN27" s="565">
        <v>135</v>
      </c>
      <c r="AO27" s="596">
        <v>3.2500000000000001E-2</v>
      </c>
      <c r="AP27" s="2"/>
      <c r="AR27" s="119"/>
      <c r="AS27" s="182">
        <v>-21</v>
      </c>
      <c r="AT27" s="201">
        <f t="shared" si="10"/>
        <v>0</v>
      </c>
      <c r="AU27" s="210">
        <v>510</v>
      </c>
      <c r="AV27" s="211">
        <v>225</v>
      </c>
      <c r="AW27" s="210">
        <v>620</v>
      </c>
      <c r="AX27" s="211">
        <v>335</v>
      </c>
      <c r="AY27" s="210">
        <v>415</v>
      </c>
      <c r="AZ27" s="211">
        <v>170</v>
      </c>
      <c r="BA27" s="29">
        <v>505</v>
      </c>
      <c r="BB27" s="211">
        <v>260</v>
      </c>
      <c r="BE27" s="173">
        <f>IF(H12="d",BE23,BG23)</f>
        <v>663.6470086500002</v>
      </c>
      <c r="BF27" s="173">
        <f>IF(H12="d",BF23,BH23)</f>
        <v>373.57795081250003</v>
      </c>
      <c r="BW27" s="868" t="s">
        <v>150</v>
      </c>
      <c r="BX27" s="869"/>
      <c r="BY27" s="869"/>
      <c r="BZ27" s="870"/>
    </row>
    <row r="28" spans="2:78" ht="15" customHeight="1" thickBot="1" x14ac:dyDescent="0.25">
      <c r="P28" s="27">
        <v>8000</v>
      </c>
      <c r="Q28" s="344">
        <v>215</v>
      </c>
      <c r="R28" s="327">
        <v>465</v>
      </c>
      <c r="S28" s="345">
        <v>245</v>
      </c>
      <c r="T28" s="327">
        <v>520</v>
      </c>
      <c r="U28" s="345">
        <v>275</v>
      </c>
      <c r="V28" s="328">
        <v>580</v>
      </c>
      <c r="W28" s="349">
        <v>300</v>
      </c>
      <c r="X28" s="350">
        <v>550</v>
      </c>
      <c r="Y28" s="351">
        <v>345</v>
      </c>
      <c r="Z28" s="350">
        <v>620</v>
      </c>
      <c r="AA28" s="352">
        <v>395</v>
      </c>
      <c r="AB28" s="328">
        <v>700</v>
      </c>
      <c r="AC28"/>
      <c r="AD28"/>
      <c r="AE28"/>
      <c r="AF28"/>
      <c r="AG28" s="4"/>
      <c r="AH28" s="4"/>
      <c r="AI28" s="4"/>
      <c r="AJ28" s="4"/>
      <c r="AK28" s="4"/>
      <c r="AL28" s="4"/>
      <c r="AM28" s="4"/>
      <c r="AN28" s="4"/>
      <c r="AO28"/>
      <c r="AP28" s="2"/>
      <c r="AR28" s="120">
        <v>8000</v>
      </c>
      <c r="AS28" s="179">
        <v>-1</v>
      </c>
      <c r="AT28" s="197">
        <f t="shared" si="10"/>
        <v>20</v>
      </c>
      <c r="AU28" s="212">
        <v>540</v>
      </c>
      <c r="AV28" s="138">
        <v>240</v>
      </c>
      <c r="AW28" s="212">
        <v>660</v>
      </c>
      <c r="AX28" s="138">
        <v>360</v>
      </c>
      <c r="AY28" s="212">
        <v>440</v>
      </c>
      <c r="AZ28" s="138">
        <v>185</v>
      </c>
      <c r="BA28" s="190">
        <v>535</v>
      </c>
      <c r="BB28" s="138">
        <v>280</v>
      </c>
      <c r="BW28" s="865" t="s">
        <v>144</v>
      </c>
      <c r="BX28" s="866"/>
      <c r="BY28" s="872" t="s">
        <v>147</v>
      </c>
      <c r="BZ28" s="867"/>
    </row>
    <row r="29" spans="2:78" ht="15" customHeight="1" thickBot="1" x14ac:dyDescent="0.25">
      <c r="Q29"/>
      <c r="R29"/>
      <c r="S29"/>
      <c r="T29"/>
      <c r="U29"/>
      <c r="V29"/>
      <c r="W29"/>
      <c r="X29"/>
      <c r="Y29"/>
      <c r="Z29"/>
      <c r="AA29"/>
      <c r="AB29"/>
      <c r="AC29"/>
      <c r="AD29" s="862" t="s">
        <v>12</v>
      </c>
      <c r="AE29" s="864"/>
      <c r="AF29" s="862" t="s">
        <v>12</v>
      </c>
      <c r="AG29" s="863"/>
      <c r="AH29" s="864" t="s">
        <v>12</v>
      </c>
      <c r="AI29" s="863"/>
      <c r="AJ29" s="862" t="s">
        <v>12</v>
      </c>
      <c r="AK29" s="864"/>
      <c r="AL29" s="862" t="s">
        <v>12</v>
      </c>
      <c r="AM29" s="863"/>
      <c r="AN29" s="864" t="s">
        <v>12</v>
      </c>
      <c r="AO29" s="863"/>
      <c r="AP29"/>
      <c r="AR29" s="117"/>
      <c r="AS29" s="180">
        <v>19</v>
      </c>
      <c r="AT29" s="200">
        <f t="shared" si="10"/>
        <v>40</v>
      </c>
      <c r="AU29" s="208">
        <v>570</v>
      </c>
      <c r="AV29" s="145">
        <v>260</v>
      </c>
      <c r="AW29" s="208">
        <v>700</v>
      </c>
      <c r="AX29" s="145">
        <v>390</v>
      </c>
      <c r="AY29" s="208">
        <v>465</v>
      </c>
      <c r="AZ29" s="145">
        <v>200</v>
      </c>
      <c r="BA29" s="209">
        <v>565</v>
      </c>
      <c r="BB29" s="145">
        <v>300</v>
      </c>
      <c r="BE29" s="868" t="s">
        <v>136</v>
      </c>
      <c r="BF29" s="869"/>
      <c r="BG29" s="869"/>
      <c r="BH29" s="869"/>
      <c r="BI29" s="869"/>
      <c r="BJ29" s="870"/>
      <c r="BK29"/>
      <c r="BW29" s="217" t="s">
        <v>145</v>
      </c>
      <c r="BX29" s="218" t="s">
        <v>146</v>
      </c>
      <c r="BY29" s="217" t="s">
        <v>145</v>
      </c>
      <c r="BZ29" s="222" t="s">
        <v>146</v>
      </c>
    </row>
    <row r="30" spans="2:78" ht="15" customHeight="1" thickBot="1" x14ac:dyDescent="0.25">
      <c r="H30" s="99"/>
      <c r="I30" s="99"/>
      <c r="P30" s="2" t="s">
        <v>42</v>
      </c>
      <c r="Q30" s="315">
        <f>AD26+AE26*$K$9</f>
        <v>124.26</v>
      </c>
      <c r="R30" s="601">
        <f>AD30+AE30*$K$9</f>
        <v>278.52</v>
      </c>
      <c r="S30" s="317">
        <f>AF26+AG26*$K$9</f>
        <v>139.79249999999999</v>
      </c>
      <c r="T30" s="601">
        <f>AF30+AG30*$K$9</f>
        <v>305.11750000000001</v>
      </c>
      <c r="U30" s="317">
        <f>AH26+AI26*$K$9</f>
        <v>155.32499999999999</v>
      </c>
      <c r="V30" s="602">
        <f>AH30+AI30*$K$9</f>
        <v>336.1825</v>
      </c>
      <c r="W30" s="333">
        <f>AJ26+AK26*$K$9</f>
        <v>156.38999999999999</v>
      </c>
      <c r="X30" s="601">
        <f>AJ30+AK30*$K$9</f>
        <v>310.64999999999998</v>
      </c>
      <c r="Y30" s="334">
        <f>AL26+AM26*$K$9</f>
        <v>176.92250000000001</v>
      </c>
      <c r="Z30" s="601">
        <f>AL30+AM30*$K$9</f>
        <v>342.2475</v>
      </c>
      <c r="AA30" s="334">
        <f>AN26+AO26*$K$9</f>
        <v>197.98750000000001</v>
      </c>
      <c r="AB30" s="605">
        <f>AN30+AO30*$K$9</f>
        <v>378.84500000000003</v>
      </c>
      <c r="AC30" s="2" t="s">
        <v>187</v>
      </c>
      <c r="AD30" s="566" t="s">
        <v>234</v>
      </c>
      <c r="AE30" s="573" t="s">
        <v>235</v>
      </c>
      <c r="AF30" s="577" t="s">
        <v>238</v>
      </c>
      <c r="AG30" s="578" t="s">
        <v>239</v>
      </c>
      <c r="AH30" s="575" t="s">
        <v>242</v>
      </c>
      <c r="AI30" s="567" t="s">
        <v>243</v>
      </c>
      <c r="AJ30" s="585" t="s">
        <v>246</v>
      </c>
      <c r="AK30" s="586" t="s">
        <v>247</v>
      </c>
      <c r="AL30" s="587" t="s">
        <v>249</v>
      </c>
      <c r="AM30" s="588" t="s">
        <v>237</v>
      </c>
      <c r="AN30" s="589" t="s">
        <v>251</v>
      </c>
      <c r="AO30" s="590" t="s">
        <v>241</v>
      </c>
      <c r="AP30" s="2"/>
      <c r="BW30" s="223">
        <f>IF($BJ$31&gt;=-10,BW25*(1+0.23/10*$BJ$31),IF(BJ31&gt;=-20,BW25*(1+0.38/10*$BJ$31),BW25*(1+0.49/10*$BJ$31)))</f>
        <v>417.58996939231338</v>
      </c>
      <c r="BX30" s="223">
        <f>IF($BJ$31&gt;=-10,BX25*(1+0.23/10*$BJ$31),IF(BK31&gt;=-20,BX25*(1+0.38/10*$BJ$31),BX25*(1+0.49/10*$BJ$31)))</f>
        <v>180.57393428808064</v>
      </c>
      <c r="BY30" s="223">
        <f>IF($BJ$31&gt;=-10,BY25*(1+0.23/10*$BJ$31),IF(BL31&gt;=-20,BY25*(1+0.38/10*$BJ$31),BY25*(1+0.49/10*$BJ$31)))</f>
        <v>506.65674264681473</v>
      </c>
      <c r="BZ30" s="223">
        <f>IF($BJ$31&gt;=-10,BZ25*(1+0.23/10*$BJ$31),IF(BM31&gt;=-20,BZ25*(1+0.38/10*$BJ$31),BZ25*(1+0.49/10*$BJ$31)))</f>
        <v>269.64070754258199</v>
      </c>
    </row>
    <row r="31" spans="2:78" ht="15" customHeight="1" thickBot="1" x14ac:dyDescent="0.25">
      <c r="I31" s="99"/>
      <c r="Q31"/>
      <c r="R31"/>
      <c r="S31"/>
      <c r="T31"/>
      <c r="U31"/>
      <c r="V31"/>
      <c r="W31"/>
      <c r="X31"/>
      <c r="Y31"/>
      <c r="Z31"/>
      <c r="AA31"/>
      <c r="AB31"/>
      <c r="AC31" s="562" t="s">
        <v>211</v>
      </c>
      <c r="AD31" s="568" t="s">
        <v>236</v>
      </c>
      <c r="AE31" s="574" t="s">
        <v>237</v>
      </c>
      <c r="AF31" s="568" t="s">
        <v>240</v>
      </c>
      <c r="AG31" s="569" t="s">
        <v>241</v>
      </c>
      <c r="AH31" s="576" t="s">
        <v>244</v>
      </c>
      <c r="AI31" s="569" t="s">
        <v>245</v>
      </c>
      <c r="AJ31" s="591" t="s">
        <v>248</v>
      </c>
      <c r="AK31" s="592" t="s">
        <v>245</v>
      </c>
      <c r="AL31" s="591" t="s">
        <v>234</v>
      </c>
      <c r="AM31" s="593" t="s">
        <v>250</v>
      </c>
      <c r="AN31" s="594" t="s">
        <v>252</v>
      </c>
      <c r="AO31" s="593" t="s">
        <v>253</v>
      </c>
      <c r="AP31"/>
      <c r="AW31" s="1" t="s">
        <v>4</v>
      </c>
      <c r="BE31" s="192" t="s">
        <v>109</v>
      </c>
      <c r="BF31" s="194">
        <f>H6</f>
        <v>75</v>
      </c>
      <c r="BG31" s="43" t="s">
        <v>111</v>
      </c>
      <c r="BH31" s="193">
        <f>RADIANS(270-BF31)</f>
        <v>3.4033920413889427</v>
      </c>
      <c r="BI31" s="43" t="s">
        <v>137</v>
      </c>
      <c r="BJ31" s="3">
        <f>BF32*(COS(BH31)*COS(BH33)+SIN(BH31)*SIN(BH33))</f>
        <v>-4.3301270189221936</v>
      </c>
    </row>
    <row r="32" spans="2:78" ht="15" customHeight="1" thickBot="1" x14ac:dyDescent="0.25">
      <c r="I32" s="99"/>
      <c r="P32" s="2" t="s">
        <v>43</v>
      </c>
      <c r="Q32" s="316">
        <f>AD27+AE27*$K$9</f>
        <v>110.8575</v>
      </c>
      <c r="R32" s="603">
        <f>AD31+AE31*$K$9</f>
        <v>247.2475</v>
      </c>
      <c r="S32" s="318">
        <f>AF27+AG27*$K$9</f>
        <v>121.9225</v>
      </c>
      <c r="T32" s="603">
        <f>AF31+AG31*$K$9</f>
        <v>273.84500000000003</v>
      </c>
      <c r="U32" s="318">
        <f>AH27+AI27*$K$9</f>
        <v>132.98750000000001</v>
      </c>
      <c r="V32" s="604">
        <f>AH31+AI31*$K$9</f>
        <v>295.97500000000002</v>
      </c>
      <c r="W32" s="336">
        <f>AJ27+AK27*$K$9</f>
        <v>129.58500000000001</v>
      </c>
      <c r="X32" s="603">
        <f>AJ31+AK31*$K$9</f>
        <v>265.97500000000002</v>
      </c>
      <c r="Y32" s="335">
        <f>AL27+AM27*$K$9</f>
        <v>136.715</v>
      </c>
      <c r="Z32" s="603">
        <f>AL31+AM31*$K$9</f>
        <v>288.63749999999999</v>
      </c>
      <c r="AA32" s="335">
        <f>AN27+AO27*$K$9</f>
        <v>148.845</v>
      </c>
      <c r="AB32" s="606">
        <f>AN31+AO31*$K$9</f>
        <v>311.83249999999998</v>
      </c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BE32" s="192" t="s">
        <v>110</v>
      </c>
      <c r="BF32" s="195">
        <f>H7</f>
        <v>5</v>
      </c>
      <c r="BG32" s="43"/>
      <c r="BH32" s="43"/>
    </row>
    <row r="33" spans="16:75" ht="15" customHeight="1" thickBot="1" x14ac:dyDescent="0.25"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BE33" s="192" t="s">
        <v>70</v>
      </c>
      <c r="BF33" s="196">
        <f>H5</f>
        <v>105</v>
      </c>
      <c r="BG33" s="43" t="s">
        <v>112</v>
      </c>
      <c r="BH33" s="193">
        <f>RADIANS(90-BF33)</f>
        <v>-0.26179938779914941</v>
      </c>
      <c r="BI33" s="43" t="s">
        <v>138</v>
      </c>
      <c r="BJ33" s="3">
        <f>BF32*(SIN(BH31)*COS(BH33)-COS(BH31)*SIN(BH33))</f>
        <v>-2.5</v>
      </c>
      <c r="BN33" s="191"/>
    </row>
    <row r="34" spans="16:75" ht="15" customHeight="1" thickBot="1" x14ac:dyDescent="0.25">
      <c r="P34" s="2" t="s">
        <v>23</v>
      </c>
      <c r="Q34" s="309">
        <f>IF($K$9&gt;=4000,Q32,Q30)</f>
        <v>124.26</v>
      </c>
      <c r="R34" s="310">
        <f>IF($K$9&gt;=4000,R32,R30)</f>
        <v>278.52</v>
      </c>
      <c r="S34" s="311">
        <f t="shared" ref="S34:AB34" si="11">IF($K$9&gt;=4000,S32,S30)</f>
        <v>139.79249999999999</v>
      </c>
      <c r="T34" s="310">
        <f t="shared" si="11"/>
        <v>305.11750000000001</v>
      </c>
      <c r="U34" s="311">
        <f t="shared" si="11"/>
        <v>155.32499999999999</v>
      </c>
      <c r="V34" s="312">
        <f t="shared" si="11"/>
        <v>336.1825</v>
      </c>
      <c r="W34" s="337">
        <f t="shared" si="11"/>
        <v>156.38999999999999</v>
      </c>
      <c r="X34" s="310">
        <f t="shared" si="11"/>
        <v>310.64999999999998</v>
      </c>
      <c r="Y34" s="338">
        <f t="shared" si="11"/>
        <v>176.92250000000001</v>
      </c>
      <c r="Z34" s="310">
        <f t="shared" si="11"/>
        <v>342.2475</v>
      </c>
      <c r="AA34" s="338">
        <f t="shared" si="11"/>
        <v>197.98750000000001</v>
      </c>
      <c r="AB34" s="364">
        <f t="shared" si="11"/>
        <v>378.84500000000003</v>
      </c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</row>
    <row r="35" spans="16:75" ht="15" customHeight="1" thickBot="1" x14ac:dyDescent="0.25">
      <c r="P35" s="2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BW35" s="1" t="s">
        <v>4</v>
      </c>
    </row>
    <row r="36" spans="16:75" ht="15" customHeight="1" x14ac:dyDescent="0.2"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BE36" s="883" t="s">
        <v>135</v>
      </c>
      <c r="BF36" s="884"/>
    </row>
    <row r="37" spans="16:75" ht="15" customHeight="1" thickBot="1" x14ac:dyDescent="0.25">
      <c r="P37" s="2"/>
      <c r="Q37" s="892" t="s">
        <v>45</v>
      </c>
      <c r="R37" s="892"/>
      <c r="S37" s="5" t="s">
        <v>5</v>
      </c>
      <c r="T37" s="5" t="s">
        <v>6</v>
      </c>
      <c r="U37"/>
      <c r="V37"/>
      <c r="W37" s="892" t="s">
        <v>44</v>
      </c>
      <c r="X37" s="892"/>
      <c r="Y37" s="5" t="s">
        <v>5</v>
      </c>
      <c r="Z37" s="5" t="s">
        <v>6</v>
      </c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BE37" s="188" t="s">
        <v>6</v>
      </c>
      <c r="BF37" s="189" t="s">
        <v>5</v>
      </c>
    </row>
    <row r="38" spans="16:75" ht="15" customHeight="1" thickBot="1" x14ac:dyDescent="0.25">
      <c r="P38"/>
      <c r="Q38" s="839" t="s">
        <v>29</v>
      </c>
      <c r="R38" s="839"/>
      <c r="S38" s="363">
        <f>IF(T15&gt;=Q15,S34+((U34-S34)/20)*(T15-Q15),S34-((S34-Q34)/20)*(Q15-T15))</f>
        <v>153.65680949999998</v>
      </c>
      <c r="T38" s="47">
        <f>IF(T15&gt;=Q15,T34+((V34-T34)/20)*(T15-Q15),T34-((T34-R34)/20)*(Q15-T15))</f>
        <v>332.84611899999999</v>
      </c>
      <c r="U38"/>
      <c r="V38"/>
      <c r="W38" s="839" t="s">
        <v>29</v>
      </c>
      <c r="X38" s="839"/>
      <c r="Y38" s="367">
        <f>IF(T15&gt;=Q15,Y34+((AA34-Y34)/20)*(T15-Q15),Y34-((Y34-W34)/20)*(Q15-T15))</f>
        <v>195.72511900000001</v>
      </c>
      <c r="Z38" s="47">
        <f>IF(T15&gt;=Q15,Z34+((AB34-Z34)/20)*(T15-Q15),Z34-((Z34-X34)/20)*(Q15-T15))</f>
        <v>374.91442850000004</v>
      </c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BE38" s="173">
        <f>IF(BJ31&gt;=-10,BE27*(1+0.23/10*BJ31),IF(BJ31&gt;=-20,BE27*(1+0.38/10*BJ31),BE27*(1+0.49/10*BJ31)))</f>
        <v>597.55246425680832</v>
      </c>
      <c r="BF38" s="173">
        <f>IF(BJ31&gt;=-10,BF27*(1+0.23/10*BJ31),IF(BJ31&gt;=-20,BF27*(1+0.38/10*BJ31),BF27*(1+0.49/10*BJ31)))</f>
        <v>336.37223130730382</v>
      </c>
    </row>
    <row r="39" spans="16:75" ht="15" customHeight="1" x14ac:dyDescent="0.2"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6:75" ht="15" customHeight="1" thickBot="1" x14ac:dyDescent="0.25">
      <c r="P40"/>
      <c r="Q40"/>
      <c r="R40"/>
      <c r="S40" s="5" t="s">
        <v>5</v>
      </c>
      <c r="T40" s="5" t="s">
        <v>6</v>
      </c>
      <c r="U40"/>
      <c r="V40"/>
      <c r="W40" t="s">
        <v>4</v>
      </c>
      <c r="X40"/>
      <c r="Y40" s="5" t="s">
        <v>5</v>
      </c>
      <c r="Z40" s="5" t="s">
        <v>6</v>
      </c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6:75" ht="15" customHeight="1" thickBot="1" x14ac:dyDescent="0.25">
      <c r="P41"/>
      <c r="Q41" s="890" t="s">
        <v>25</v>
      </c>
      <c r="R41" s="891"/>
      <c r="S41" s="366">
        <f>S38+(S18-S38)/200*(H8-665)</f>
        <v>263.22513252405003</v>
      </c>
      <c r="T41" s="47">
        <f>T38+(T18-T38)/200*(H8-665)</f>
        <v>552.93451309809996</v>
      </c>
      <c r="U41"/>
      <c r="V41"/>
      <c r="W41" s="890" t="s">
        <v>25</v>
      </c>
      <c r="X41" s="891"/>
      <c r="Y41" s="365">
        <f>Y38+(Y18-Y38)/200*(H8-665)</f>
        <v>372.68923452215006</v>
      </c>
      <c r="Z41" s="47">
        <f>Z38+(Z18-Z38)/200*(H8-665)</f>
        <v>662.39861509620005</v>
      </c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6:75" ht="15" customHeight="1" x14ac:dyDescent="0.2"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6:75" ht="15" customHeight="1" thickBot="1" x14ac:dyDescent="0.25">
      <c r="Q43"/>
      <c r="R43"/>
      <c r="S43" s="5"/>
      <c r="T43"/>
      <c r="U43"/>
      <c r="V43" s="5" t="s">
        <v>5</v>
      </c>
      <c r="W43" s="5" t="s">
        <v>6</v>
      </c>
      <c r="X43"/>
      <c r="Y43" s="5"/>
      <c r="Z43" s="5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6:75" ht="15" customHeight="1" thickBot="1" x14ac:dyDescent="0.25">
      <c r="Q44"/>
      <c r="R44"/>
      <c r="S44" s="46"/>
      <c r="T44" s="890" t="s">
        <v>46</v>
      </c>
      <c r="U44" s="891"/>
      <c r="V44" s="47">
        <f>IF(H12="D",S41,Y41)</f>
        <v>372.68923452215006</v>
      </c>
      <c r="W44" s="47">
        <f>IF(H12="D",T41,Z41)</f>
        <v>662.39861509620005</v>
      </c>
      <c r="X44"/>
      <c r="Y44" s="46"/>
      <c r="Z44" s="46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6:75" ht="15" customHeight="1" x14ac:dyDescent="0.2"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6:75" ht="15" customHeight="1" thickBot="1" x14ac:dyDescent="0.25">
      <c r="P46" s="1" t="s">
        <v>4</v>
      </c>
      <c r="Q46" t="s">
        <v>4</v>
      </c>
      <c r="R46"/>
      <c r="S46"/>
      <c r="T46"/>
      <c r="U46"/>
      <c r="V46" s="5" t="s">
        <v>5</v>
      </c>
      <c r="W46" s="5" t="s">
        <v>6</v>
      </c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6:75" ht="15" customHeight="1" thickBot="1" x14ac:dyDescent="0.25">
      <c r="P47"/>
      <c r="Q47"/>
      <c r="R47" s="492">
        <f>H13</f>
        <v>-4.3301270189221945</v>
      </c>
      <c r="S47" s="493">
        <f>-INT(R47)</f>
        <v>5</v>
      </c>
      <c r="T47" s="890" t="s">
        <v>26</v>
      </c>
      <c r="U47" s="891"/>
      <c r="V47" s="608">
        <f>IF(H13&gt;=-10,(1-0.023*S47)*V44,IF(H13&gt;=-20,(0.92-0.015*S47)*V44,(0.84-0.011*S47)*V44))</f>
        <v>329.82997255210279</v>
      </c>
      <c r="W47" s="609">
        <f>IF(H13&gt;=-10,(1-0.023*S47)*W44,IF(H13&gt;=-20,(0.92-0.015*S47)*W44,(0.84-0.011*S47)*W44))</f>
        <v>586.22277436013701</v>
      </c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6:75" ht="15" customHeight="1" x14ac:dyDescent="0.2"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5:42" ht="15" customHeight="1" thickBot="1" x14ac:dyDescent="0.25">
      <c r="O49" s="5"/>
      <c r="P49" s="21" t="s">
        <v>20</v>
      </c>
      <c r="Q49"/>
      <c r="R49" s="5" t="s">
        <v>193</v>
      </c>
      <c r="S49"/>
      <c r="T49"/>
      <c r="U49"/>
      <c r="V49" s="5"/>
      <c r="W49" s="5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5:42" ht="15" customHeight="1" x14ac:dyDescent="0.2">
      <c r="P50"/>
      <c r="Q50" s="887" t="s">
        <v>34</v>
      </c>
      <c r="R50" s="888"/>
      <c r="S50" s="888"/>
      <c r="T50" s="888"/>
      <c r="U50" s="888"/>
      <c r="V50" s="889"/>
      <c r="W50" s="887" t="s">
        <v>35</v>
      </c>
      <c r="X50" s="888"/>
      <c r="Y50" s="888"/>
      <c r="Z50" s="888"/>
      <c r="AA50" s="888"/>
      <c r="AB50" s="889"/>
      <c r="AC50" s="2"/>
      <c r="AD50" s="852" t="s">
        <v>10</v>
      </c>
      <c r="AE50" s="853"/>
      <c r="AF50" s="853"/>
      <c r="AG50" s="853"/>
      <c r="AH50" s="853"/>
      <c r="AI50" s="854"/>
      <c r="AJ50" s="855" t="s">
        <v>11</v>
      </c>
      <c r="AK50" s="856"/>
      <c r="AL50" s="856"/>
      <c r="AM50" s="856"/>
      <c r="AN50" s="856"/>
      <c r="AO50" s="857"/>
      <c r="AP50" s="4"/>
    </row>
    <row r="51" spans="15:42" ht="15" customHeight="1" thickBot="1" x14ac:dyDescent="0.25">
      <c r="P51"/>
      <c r="Q51" s="887" t="s">
        <v>36</v>
      </c>
      <c r="R51" s="888"/>
      <c r="S51" s="889"/>
      <c r="T51" s="886" t="s">
        <v>37</v>
      </c>
      <c r="U51" s="886"/>
      <c r="V51" s="886"/>
      <c r="W51" s="885" t="s">
        <v>36</v>
      </c>
      <c r="X51" s="885"/>
      <c r="Y51" s="885"/>
      <c r="Z51" s="886" t="s">
        <v>37</v>
      </c>
      <c r="AA51" s="886"/>
      <c r="AB51" s="886"/>
      <c r="AC51" s="2"/>
      <c r="AD51" s="858" t="s">
        <v>13</v>
      </c>
      <c r="AE51" s="859"/>
      <c r="AF51" s="859" t="s">
        <v>14</v>
      </c>
      <c r="AG51" s="859"/>
      <c r="AH51" s="860" t="s">
        <v>15</v>
      </c>
      <c r="AI51" s="861"/>
      <c r="AJ51" s="858" t="s">
        <v>13</v>
      </c>
      <c r="AK51" s="859"/>
      <c r="AL51" s="859" t="s">
        <v>14</v>
      </c>
      <c r="AM51" s="859"/>
      <c r="AN51" s="860" t="s">
        <v>15</v>
      </c>
      <c r="AO51" s="861"/>
      <c r="AP51" s="4"/>
    </row>
    <row r="52" spans="15:42" ht="15" customHeight="1" thickBot="1" x14ac:dyDescent="0.25">
      <c r="P52"/>
      <c r="Q52" s="887" t="s">
        <v>38</v>
      </c>
      <c r="R52" s="888"/>
      <c r="S52" s="889"/>
      <c r="T52" s="886" t="s">
        <v>39</v>
      </c>
      <c r="U52" s="886"/>
      <c r="V52" s="886"/>
      <c r="W52" s="885" t="s">
        <v>38</v>
      </c>
      <c r="X52" s="885"/>
      <c r="Y52" s="885"/>
      <c r="Z52" s="886" t="s">
        <v>39</v>
      </c>
      <c r="AA52" s="886"/>
      <c r="AB52" s="886"/>
      <c r="AC52" s="2"/>
      <c r="AD52" s="865" t="s">
        <v>5</v>
      </c>
      <c r="AE52" s="866"/>
      <c r="AF52" s="865" t="s">
        <v>5</v>
      </c>
      <c r="AG52" s="867"/>
      <c r="AH52" s="866" t="s">
        <v>5</v>
      </c>
      <c r="AI52" s="867"/>
      <c r="AJ52" s="850" t="s">
        <v>5</v>
      </c>
      <c r="AK52" s="851"/>
      <c r="AL52" s="850" t="s">
        <v>5</v>
      </c>
      <c r="AM52" s="851"/>
      <c r="AN52" s="850" t="s">
        <v>5</v>
      </c>
      <c r="AO52" s="851"/>
      <c r="AP52" s="4"/>
    </row>
    <row r="53" spans="15:42" ht="15" customHeight="1" x14ac:dyDescent="0.2">
      <c r="P53" t="s">
        <v>1</v>
      </c>
      <c r="Q53" s="23" t="s">
        <v>27</v>
      </c>
      <c r="R53" s="23" t="s">
        <v>14</v>
      </c>
      <c r="S53" s="23" t="s">
        <v>28</v>
      </c>
      <c r="T53" s="368" t="s">
        <v>27</v>
      </c>
      <c r="U53" s="368" t="s">
        <v>14</v>
      </c>
      <c r="V53" s="368" t="s">
        <v>28</v>
      </c>
      <c r="W53" s="23" t="s">
        <v>27</v>
      </c>
      <c r="X53" s="23" t="s">
        <v>14</v>
      </c>
      <c r="Y53" s="23" t="s">
        <v>28</v>
      </c>
      <c r="Z53" s="368" t="s">
        <v>27</v>
      </c>
      <c r="AA53" s="368" t="s">
        <v>14</v>
      </c>
      <c r="AB53" s="368" t="s">
        <v>28</v>
      </c>
      <c r="AC53" s="2" t="s">
        <v>187</v>
      </c>
      <c r="AD53" s="570">
        <v>175</v>
      </c>
      <c r="AE53" s="182">
        <v>6.2500000000000003E-3</v>
      </c>
      <c r="AF53" s="582">
        <v>190</v>
      </c>
      <c r="AG53" s="211">
        <v>6.2500000000000003E-3</v>
      </c>
      <c r="AH53" s="581">
        <v>205</v>
      </c>
      <c r="AI53" s="211">
        <v>6.2500000000000003E-3</v>
      </c>
      <c r="AJ53" s="571">
        <v>265</v>
      </c>
      <c r="AK53" s="583">
        <v>8.7500000000000008E-3</v>
      </c>
      <c r="AL53" s="579">
        <v>285</v>
      </c>
      <c r="AM53" s="595">
        <v>8.7500000000000008E-3</v>
      </c>
      <c r="AN53" s="572">
        <v>305</v>
      </c>
      <c r="AO53" s="595">
        <v>0.01</v>
      </c>
      <c r="AP53" s="4"/>
    </row>
    <row r="54" spans="15:42" ht="15" customHeight="1" thickBot="1" x14ac:dyDescent="0.25">
      <c r="P54" s="36">
        <v>0</v>
      </c>
      <c r="Q54" s="38">
        <v>175</v>
      </c>
      <c r="R54" s="38">
        <v>190</v>
      </c>
      <c r="S54" s="18">
        <v>205</v>
      </c>
      <c r="T54" s="369">
        <v>265</v>
      </c>
      <c r="U54" s="369">
        <v>285</v>
      </c>
      <c r="V54" s="369">
        <v>305</v>
      </c>
      <c r="W54" s="18">
        <v>425</v>
      </c>
      <c r="X54" s="39">
        <v>450</v>
      </c>
      <c r="Y54" s="39">
        <v>470</v>
      </c>
      <c r="Z54" s="370">
        <v>515</v>
      </c>
      <c r="AA54" s="370">
        <v>545</v>
      </c>
      <c r="AB54" s="370">
        <v>570</v>
      </c>
      <c r="AC54" s="562" t="s">
        <v>211</v>
      </c>
      <c r="AD54" s="124">
        <v>175</v>
      </c>
      <c r="AE54" s="175">
        <v>6.2500000000000003E-3</v>
      </c>
      <c r="AF54" s="391">
        <v>190</v>
      </c>
      <c r="AG54" s="563">
        <v>6.2500000000000003E-3</v>
      </c>
      <c r="AH54" s="327">
        <v>200</v>
      </c>
      <c r="AI54" s="563">
        <v>7.4999999999999997E-3</v>
      </c>
      <c r="AJ54" s="564">
        <v>265</v>
      </c>
      <c r="AK54" s="584">
        <v>8.7500000000000008E-3</v>
      </c>
      <c r="AL54" s="580">
        <v>280</v>
      </c>
      <c r="AM54" s="596">
        <v>0.01</v>
      </c>
      <c r="AN54" s="565">
        <v>300</v>
      </c>
      <c r="AO54" s="596">
        <v>1.125E-2</v>
      </c>
    </row>
    <row r="55" spans="15:42" ht="15" customHeight="1" thickBot="1" x14ac:dyDescent="0.25">
      <c r="P55" s="37">
        <v>4000</v>
      </c>
      <c r="Q55" s="6">
        <v>200</v>
      </c>
      <c r="R55" s="6">
        <v>215</v>
      </c>
      <c r="S55" s="12">
        <v>230</v>
      </c>
      <c r="T55" s="320">
        <v>300</v>
      </c>
      <c r="U55" s="320">
        <v>320</v>
      </c>
      <c r="V55" s="320">
        <v>345</v>
      </c>
      <c r="W55" s="12">
        <v>465</v>
      </c>
      <c r="X55" s="25">
        <v>490</v>
      </c>
      <c r="Y55" s="25">
        <v>515</v>
      </c>
      <c r="Z55" s="371">
        <v>565</v>
      </c>
      <c r="AA55" s="371">
        <v>595</v>
      </c>
      <c r="AB55" s="371">
        <v>630</v>
      </c>
      <c r="AC55"/>
      <c r="AD55"/>
      <c r="AE55"/>
      <c r="AF55"/>
      <c r="AG55" s="4"/>
      <c r="AH55" s="4"/>
      <c r="AI55" s="4"/>
      <c r="AJ55" s="4"/>
      <c r="AK55" s="4"/>
      <c r="AL55" s="4"/>
      <c r="AM55" s="4"/>
      <c r="AN55" s="4"/>
      <c r="AO55"/>
      <c r="AP55"/>
    </row>
    <row r="56" spans="15:42" ht="15" customHeight="1" thickBot="1" x14ac:dyDescent="0.25">
      <c r="P56" s="36">
        <v>8000</v>
      </c>
      <c r="Q56" s="40">
        <v>225</v>
      </c>
      <c r="R56" s="40">
        <v>240</v>
      </c>
      <c r="S56" s="13">
        <v>260</v>
      </c>
      <c r="T56" s="321">
        <v>335</v>
      </c>
      <c r="U56" s="321">
        <v>360</v>
      </c>
      <c r="V56" s="321">
        <v>390</v>
      </c>
      <c r="W56" s="13">
        <v>510</v>
      </c>
      <c r="X56" s="24">
        <v>540</v>
      </c>
      <c r="Y56" s="24">
        <v>570</v>
      </c>
      <c r="Z56" s="372">
        <v>620</v>
      </c>
      <c r="AA56" s="372">
        <v>660</v>
      </c>
      <c r="AB56" s="372">
        <v>700</v>
      </c>
      <c r="AC56"/>
      <c r="AD56" s="862" t="s">
        <v>12</v>
      </c>
      <c r="AE56" s="864"/>
      <c r="AF56" s="862" t="s">
        <v>12</v>
      </c>
      <c r="AG56" s="863"/>
      <c r="AH56" s="864" t="s">
        <v>12</v>
      </c>
      <c r="AI56" s="863"/>
      <c r="AJ56" s="862" t="s">
        <v>12</v>
      </c>
      <c r="AK56" s="864"/>
      <c r="AL56" s="862" t="s">
        <v>12</v>
      </c>
      <c r="AM56" s="863"/>
      <c r="AN56" s="864" t="s">
        <v>12</v>
      </c>
      <c r="AO56" s="863"/>
      <c r="AP56"/>
    </row>
    <row r="57" spans="15:42" ht="15" customHeight="1" x14ac:dyDescent="0.2">
      <c r="P57" s="2"/>
      <c r="S57"/>
      <c r="T57"/>
      <c r="U57"/>
      <c r="V57"/>
      <c r="W57"/>
      <c r="X57"/>
      <c r="Y57"/>
      <c r="Z57"/>
      <c r="AA57"/>
      <c r="AB57"/>
      <c r="AC57" s="2" t="s">
        <v>187</v>
      </c>
      <c r="AD57" s="566" t="s">
        <v>216</v>
      </c>
      <c r="AE57" s="573" t="s">
        <v>254</v>
      </c>
      <c r="AF57" s="577" t="s">
        <v>257</v>
      </c>
      <c r="AG57" s="578" t="s">
        <v>254</v>
      </c>
      <c r="AH57" s="575" t="s">
        <v>260</v>
      </c>
      <c r="AI57" s="567" t="s">
        <v>256</v>
      </c>
      <c r="AJ57" s="585" t="s">
        <v>262</v>
      </c>
      <c r="AK57" s="586" t="s">
        <v>259</v>
      </c>
      <c r="AL57" s="587" t="s">
        <v>263</v>
      </c>
      <c r="AM57" s="588" t="s">
        <v>259</v>
      </c>
      <c r="AN57" s="589" t="s">
        <v>266</v>
      </c>
      <c r="AO57" s="590" t="s">
        <v>267</v>
      </c>
      <c r="AP57"/>
    </row>
    <row r="58" spans="15:42" ht="15" customHeight="1" thickBot="1" x14ac:dyDescent="0.25">
      <c r="P58" s="2" t="s">
        <v>59</v>
      </c>
      <c r="Q58" s="96">
        <f>175+0.00625*K9</f>
        <v>177.66249999999999</v>
      </c>
      <c r="R58" s="96">
        <f>190+0.00625*K9</f>
        <v>192.66249999999999</v>
      </c>
      <c r="S58" s="96">
        <f>205+0.00625*K9</f>
        <v>207.66249999999999</v>
      </c>
      <c r="T58" s="380">
        <f>265+0.00875*K9</f>
        <v>268.72750000000002</v>
      </c>
      <c r="U58" s="380">
        <f>285+0.00875*K9</f>
        <v>288.72750000000002</v>
      </c>
      <c r="V58" s="380">
        <f>305+0.01*K9</f>
        <v>309.26</v>
      </c>
      <c r="W58" s="96">
        <f>425+0.01*K9</f>
        <v>429.26</v>
      </c>
      <c r="X58" s="96">
        <f>450+0.01*K9</f>
        <v>454.26</v>
      </c>
      <c r="Y58" s="96">
        <f>470+0.01125*K9</f>
        <v>474.79250000000002</v>
      </c>
      <c r="Z58" s="380">
        <f>515+0.0125*K9</f>
        <v>520.32500000000005</v>
      </c>
      <c r="AA58" s="380">
        <f>545+0.0125*K9</f>
        <v>550.32500000000005</v>
      </c>
      <c r="AB58" s="380">
        <f>570+0.015*K9</f>
        <v>576.39</v>
      </c>
      <c r="AC58" s="562" t="s">
        <v>211</v>
      </c>
      <c r="AD58" s="568" t="s">
        <v>255</v>
      </c>
      <c r="AE58" s="574" t="s">
        <v>256</v>
      </c>
      <c r="AF58" s="568" t="s">
        <v>258</v>
      </c>
      <c r="AG58" s="569" t="s">
        <v>259</v>
      </c>
      <c r="AH58" s="576" t="s">
        <v>220</v>
      </c>
      <c r="AI58" s="569" t="s">
        <v>261</v>
      </c>
      <c r="AJ58" s="591" t="s">
        <v>214</v>
      </c>
      <c r="AK58" s="592" t="s">
        <v>261</v>
      </c>
      <c r="AL58" s="591" t="s">
        <v>264</v>
      </c>
      <c r="AM58" s="593" t="s">
        <v>265</v>
      </c>
      <c r="AN58" s="594" t="s">
        <v>268</v>
      </c>
      <c r="AO58" s="593" t="s">
        <v>269</v>
      </c>
      <c r="AP58" s="597"/>
    </row>
    <row r="59" spans="15:42" ht="15" customHeight="1" x14ac:dyDescent="0.2">
      <c r="P59" s="2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</row>
    <row r="60" spans="15:42" ht="15" customHeight="1" x14ac:dyDescent="0.2">
      <c r="P60" s="2" t="s">
        <v>60</v>
      </c>
      <c r="Q60" s="388">
        <f>175+0.00625*K9</f>
        <v>177.66249999999999</v>
      </c>
      <c r="R60" s="388">
        <f>190+0.00625*K9</f>
        <v>192.66249999999999</v>
      </c>
      <c r="S60" s="388">
        <f>200+0.0075*K9</f>
        <v>203.19499999999999</v>
      </c>
      <c r="T60" s="389">
        <f>265+0.00875*K9</f>
        <v>268.72750000000002</v>
      </c>
      <c r="U60" s="389">
        <f>280+0.01*K9</f>
        <v>284.26</v>
      </c>
      <c r="V60" s="389">
        <f>300+0.01125*K9</f>
        <v>304.79250000000002</v>
      </c>
      <c r="W60" s="388">
        <f>AD58+AE58*K9</f>
        <v>424.79250000000002</v>
      </c>
      <c r="X60" s="388">
        <f>440+0.0125*K9</f>
        <v>445.32499999999999</v>
      </c>
      <c r="Y60" s="388">
        <f>460+0.01375*K9</f>
        <v>465.85750000000002</v>
      </c>
      <c r="Z60" s="389">
        <f>510+0.01375*K9</f>
        <v>515.85749999999996</v>
      </c>
      <c r="AA60" s="389">
        <f>530+0.01625*K9</f>
        <v>536.92250000000001</v>
      </c>
      <c r="AB60" s="389">
        <f>560+0.0175*K9</f>
        <v>567.45500000000004</v>
      </c>
      <c r="AC60" s="598"/>
      <c r="AD60" s="598"/>
      <c r="AE60" s="598"/>
      <c r="AF60" s="598"/>
      <c r="AG60" s="598"/>
      <c r="AH60" s="598"/>
      <c r="AI60" s="598"/>
      <c r="AJ60" s="598"/>
      <c r="AK60" s="598"/>
      <c r="AL60" s="598"/>
      <c r="AM60" s="598"/>
      <c r="AN60" s="598"/>
      <c r="AO60" s="598"/>
      <c r="AP60" s="598"/>
    </row>
    <row r="61" spans="15:42" ht="15" customHeight="1" thickBot="1" x14ac:dyDescent="0.25">
      <c r="P61" s="2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</row>
    <row r="62" spans="15:42" ht="15" customHeight="1" thickBot="1" x14ac:dyDescent="0.25">
      <c r="P62" s="2" t="s">
        <v>23</v>
      </c>
      <c r="Q62" s="376">
        <f>IF($K$9&lt;=4000,Q58,Q60)</f>
        <v>177.66249999999999</v>
      </c>
      <c r="R62" s="377">
        <f t="shared" ref="R62:AB62" si="12">IF($K$9&lt;=4000,R58,R60)</f>
        <v>192.66249999999999</v>
      </c>
      <c r="S62" s="377">
        <f t="shared" si="12"/>
        <v>207.66249999999999</v>
      </c>
      <c r="T62" s="378">
        <f t="shared" si="12"/>
        <v>268.72750000000002</v>
      </c>
      <c r="U62" s="378">
        <f t="shared" si="12"/>
        <v>288.72750000000002</v>
      </c>
      <c r="V62" s="379">
        <f t="shared" si="12"/>
        <v>309.26</v>
      </c>
      <c r="W62" s="376">
        <f t="shared" si="12"/>
        <v>429.26</v>
      </c>
      <c r="X62" s="377">
        <f t="shared" si="12"/>
        <v>454.26</v>
      </c>
      <c r="Y62" s="377">
        <f t="shared" si="12"/>
        <v>474.79250000000002</v>
      </c>
      <c r="Z62" s="378">
        <f t="shared" si="12"/>
        <v>520.32500000000005</v>
      </c>
      <c r="AA62" s="378">
        <f t="shared" si="12"/>
        <v>550.32500000000005</v>
      </c>
      <c r="AB62" s="379">
        <f t="shared" si="12"/>
        <v>576.39</v>
      </c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5:42" ht="15" customHeight="1" x14ac:dyDescent="0.2">
      <c r="Q63" s="4"/>
      <c r="R63"/>
      <c r="S63"/>
      <c r="T63" s="4"/>
      <c r="U63"/>
      <c r="V63"/>
      <c r="W63" s="4"/>
      <c r="X63"/>
      <c r="Y63"/>
      <c r="Z63" s="4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</row>
    <row r="64" spans="15:42" ht="15" customHeight="1" x14ac:dyDescent="0.2">
      <c r="P64" s="2" t="s">
        <v>30</v>
      </c>
      <c r="Q64" s="386">
        <f>15-H9/1000*2</f>
        <v>14.148</v>
      </c>
      <c r="R64" s="2"/>
      <c r="S64" s="2" t="s">
        <v>31</v>
      </c>
      <c r="T64" s="387">
        <f>H10</f>
        <v>32</v>
      </c>
      <c r="U64" s="2"/>
      <c r="V64" s="2"/>
      <c r="W64" s="2"/>
      <c r="X64" s="2"/>
      <c r="Y64" s="2"/>
      <c r="Z64" s="2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</row>
    <row r="65" spans="16:42" ht="15" customHeight="1" x14ac:dyDescent="0.2">
      <c r="Q65" s="4" t="s">
        <v>40</v>
      </c>
      <c r="R65"/>
      <c r="S65"/>
      <c r="T65" s="4" t="s">
        <v>41</v>
      </c>
      <c r="U65"/>
      <c r="V65"/>
      <c r="W65" s="4" t="s">
        <v>49</v>
      </c>
      <c r="X65"/>
      <c r="Y65"/>
      <c r="Z65" s="4" t="s">
        <v>50</v>
      </c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</row>
    <row r="66" spans="16:42" ht="15" customHeight="1" x14ac:dyDescent="0.2">
      <c r="P66" s="1" t="s">
        <v>29</v>
      </c>
      <c r="Q66" s="31">
        <f>IF(T64&gt;=Q64,R62+((S62-R62)/20)*(T64-Q64),R62-((R62-Q62)/20)*(Q64-T64))</f>
        <v>206.0515</v>
      </c>
      <c r="R66"/>
      <c r="S66"/>
      <c r="T66" s="479">
        <f>IF(T64&gt;=Q64,U62+((V62-U62)/20)*(T64-Q64),U62-((U62-T62)/20)*(Q64-T64))</f>
        <v>307.05480949999998</v>
      </c>
      <c r="U66"/>
      <c r="V66" t="s">
        <v>4</v>
      </c>
      <c r="W66" s="31">
        <f>IF(T64&gt;=Q64,X62+((Y62-X62)/20)*(T64-Q64),X62-((X62-W62)/20)*(Q64-T64))</f>
        <v>472.5873095</v>
      </c>
      <c r="X66" t="s">
        <v>4</v>
      </c>
      <c r="Y66"/>
      <c r="Z66" s="479">
        <f>IF(T64&gt;=Q64,AA62+((AB62-AA62)/20)*(T64-Q64),AA62-((AA62-Z62)/20)*(Q64-T64))</f>
        <v>573.59061899999995</v>
      </c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</row>
    <row r="67" spans="16:42" ht="15" customHeight="1" x14ac:dyDescent="0.2"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  <row r="68" spans="16:42" ht="15" customHeight="1" x14ac:dyDescent="0.2"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16:42" ht="15" customHeight="1" x14ac:dyDescent="0.2"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6:42" ht="15" customHeight="1" thickBot="1" x14ac:dyDescent="0.25">
      <c r="P70" s="16" t="s">
        <v>21</v>
      </c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6:42" ht="15" customHeight="1" x14ac:dyDescent="0.2">
      <c r="Q71" s="885" t="s">
        <v>34</v>
      </c>
      <c r="R71" s="885"/>
      <c r="S71" s="885"/>
      <c r="T71" s="885"/>
      <c r="U71" s="885"/>
      <c r="V71" s="885"/>
      <c r="W71" s="885" t="s">
        <v>35</v>
      </c>
      <c r="X71" s="885"/>
      <c r="Y71" s="885"/>
      <c r="Z71" s="885"/>
      <c r="AA71" s="885"/>
      <c r="AB71" s="885"/>
      <c r="AC71" s="2"/>
      <c r="AD71" s="852" t="s">
        <v>10</v>
      </c>
      <c r="AE71" s="853"/>
      <c r="AF71" s="853"/>
      <c r="AG71" s="853"/>
      <c r="AH71" s="853"/>
      <c r="AI71" s="854"/>
      <c r="AJ71" s="855" t="s">
        <v>11</v>
      </c>
      <c r="AK71" s="856"/>
      <c r="AL71" s="856"/>
      <c r="AM71" s="856"/>
      <c r="AN71" s="856"/>
      <c r="AO71" s="857"/>
      <c r="AP71" s="4"/>
    </row>
    <row r="72" spans="16:42" ht="15" customHeight="1" thickBot="1" x14ac:dyDescent="0.25">
      <c r="Q72" s="885" t="s">
        <v>36</v>
      </c>
      <c r="R72" s="885"/>
      <c r="S72" s="885"/>
      <c r="T72" s="886" t="s">
        <v>37</v>
      </c>
      <c r="U72" s="886"/>
      <c r="V72" s="886"/>
      <c r="W72" s="885" t="s">
        <v>36</v>
      </c>
      <c r="X72" s="885"/>
      <c r="Y72" s="885"/>
      <c r="Z72" s="886" t="s">
        <v>37</v>
      </c>
      <c r="AA72" s="886"/>
      <c r="AB72" s="886"/>
      <c r="AC72" s="2"/>
      <c r="AD72" s="858" t="s">
        <v>13</v>
      </c>
      <c r="AE72" s="859"/>
      <c r="AF72" s="859" t="s">
        <v>14</v>
      </c>
      <c r="AG72" s="859"/>
      <c r="AH72" s="860" t="s">
        <v>15</v>
      </c>
      <c r="AI72" s="861"/>
      <c r="AJ72" s="858" t="s">
        <v>13</v>
      </c>
      <c r="AK72" s="859"/>
      <c r="AL72" s="859" t="s">
        <v>14</v>
      </c>
      <c r="AM72" s="859"/>
      <c r="AN72" s="860" t="s">
        <v>15</v>
      </c>
      <c r="AO72" s="861"/>
      <c r="AP72" s="4"/>
    </row>
    <row r="73" spans="16:42" ht="15" customHeight="1" thickBot="1" x14ac:dyDescent="0.25">
      <c r="Q73" s="885" t="s">
        <v>38</v>
      </c>
      <c r="R73" s="885"/>
      <c r="S73" s="885"/>
      <c r="T73" s="886" t="s">
        <v>39</v>
      </c>
      <c r="U73" s="886"/>
      <c r="V73" s="886"/>
      <c r="W73" s="885" t="s">
        <v>38</v>
      </c>
      <c r="X73" s="885"/>
      <c r="Y73" s="885"/>
      <c r="Z73" s="886" t="s">
        <v>39</v>
      </c>
      <c r="AA73" s="886"/>
      <c r="AB73" s="886"/>
      <c r="AC73" s="2"/>
      <c r="AD73" s="865" t="s">
        <v>5</v>
      </c>
      <c r="AE73" s="866"/>
      <c r="AF73" s="865" t="s">
        <v>5</v>
      </c>
      <c r="AG73" s="867"/>
      <c r="AH73" s="866" t="s">
        <v>5</v>
      </c>
      <c r="AI73" s="867"/>
      <c r="AJ73" s="850" t="s">
        <v>5</v>
      </c>
      <c r="AK73" s="851"/>
      <c r="AL73" s="850" t="s">
        <v>5</v>
      </c>
      <c r="AM73" s="851"/>
      <c r="AN73" s="850" t="s">
        <v>5</v>
      </c>
      <c r="AO73" s="851"/>
      <c r="AP73" s="4"/>
    </row>
    <row r="74" spans="16:42" ht="15" customHeight="1" x14ac:dyDescent="0.2">
      <c r="P74" s="1" t="s">
        <v>1</v>
      </c>
      <c r="Q74" s="22" t="s">
        <v>27</v>
      </c>
      <c r="R74" s="22" t="s">
        <v>14</v>
      </c>
      <c r="S74" s="22" t="s">
        <v>28</v>
      </c>
      <c r="T74" s="373" t="s">
        <v>27</v>
      </c>
      <c r="U74" s="373" t="s">
        <v>14</v>
      </c>
      <c r="V74" s="373" t="s">
        <v>28</v>
      </c>
      <c r="W74" s="22" t="s">
        <v>27</v>
      </c>
      <c r="X74" s="22" t="s">
        <v>14</v>
      </c>
      <c r="Y74" s="22" t="s">
        <v>28</v>
      </c>
      <c r="Z74" s="373" t="s">
        <v>27</v>
      </c>
      <c r="AA74" s="373" t="s">
        <v>14</v>
      </c>
      <c r="AB74" s="373" t="s">
        <v>28</v>
      </c>
      <c r="AC74" s="2" t="s">
        <v>187</v>
      </c>
      <c r="AD74" s="570">
        <v>135</v>
      </c>
      <c r="AE74" s="182">
        <v>3.7499999999999999E-3</v>
      </c>
      <c r="AF74" s="582">
        <v>145</v>
      </c>
      <c r="AG74" s="211">
        <v>5.0000000000000001E-3</v>
      </c>
      <c r="AH74" s="581">
        <v>155</v>
      </c>
      <c r="AI74" s="211">
        <v>5.0000000000000001E-3</v>
      </c>
      <c r="AJ74" s="571">
        <v>205</v>
      </c>
      <c r="AK74" s="583">
        <v>6.2500000000000003E-3</v>
      </c>
      <c r="AL74" s="579">
        <v>220</v>
      </c>
      <c r="AM74" s="595">
        <v>7.4999999999999997E-3</v>
      </c>
      <c r="AN74" s="572">
        <v>235</v>
      </c>
      <c r="AO74" s="595">
        <v>7.4999999999999997E-3</v>
      </c>
      <c r="AP74"/>
    </row>
    <row r="75" spans="16:42" ht="15" customHeight="1" thickBot="1" x14ac:dyDescent="0.25">
      <c r="P75" s="2">
        <v>0</v>
      </c>
      <c r="Q75" s="41">
        <v>135</v>
      </c>
      <c r="R75" s="41">
        <v>145</v>
      </c>
      <c r="S75" s="41">
        <v>155</v>
      </c>
      <c r="T75" s="374">
        <v>205</v>
      </c>
      <c r="U75" s="374">
        <v>220</v>
      </c>
      <c r="V75" s="374">
        <v>235</v>
      </c>
      <c r="W75" s="22">
        <v>350</v>
      </c>
      <c r="X75" s="42">
        <v>370</v>
      </c>
      <c r="Y75" s="42">
        <v>390</v>
      </c>
      <c r="Z75" s="375">
        <v>420</v>
      </c>
      <c r="AA75" s="375">
        <v>445</v>
      </c>
      <c r="AB75" s="375">
        <v>470</v>
      </c>
      <c r="AC75" s="562" t="s">
        <v>211</v>
      </c>
      <c r="AD75" s="124">
        <v>130</v>
      </c>
      <c r="AE75" s="175">
        <v>5.0000000000000001E-3</v>
      </c>
      <c r="AF75" s="391">
        <v>145</v>
      </c>
      <c r="AG75" s="563">
        <v>5.0000000000000001E-3</v>
      </c>
      <c r="AH75" s="327">
        <v>150</v>
      </c>
      <c r="AI75" s="563">
        <v>6.2500000000000003E-3</v>
      </c>
      <c r="AJ75" s="564">
        <v>200</v>
      </c>
      <c r="AK75" s="584">
        <v>7.4999999999999997E-3</v>
      </c>
      <c r="AL75" s="580">
        <v>220</v>
      </c>
      <c r="AM75" s="596">
        <v>7.4999999999999997E-3</v>
      </c>
      <c r="AN75" s="565">
        <v>230</v>
      </c>
      <c r="AO75" s="596">
        <v>8.7500000000000008E-3</v>
      </c>
      <c r="AP75"/>
    </row>
    <row r="76" spans="16:42" ht="15" customHeight="1" thickBot="1" x14ac:dyDescent="0.25">
      <c r="P76" s="2">
        <v>4000</v>
      </c>
      <c r="Q76" s="6">
        <v>150</v>
      </c>
      <c r="R76" s="6">
        <v>165</v>
      </c>
      <c r="S76" s="6">
        <v>175</v>
      </c>
      <c r="T76" s="320">
        <v>230</v>
      </c>
      <c r="U76" s="320">
        <v>250</v>
      </c>
      <c r="V76" s="320">
        <v>265</v>
      </c>
      <c r="W76" s="12">
        <v>380</v>
      </c>
      <c r="X76" s="25">
        <v>400</v>
      </c>
      <c r="Y76" s="25">
        <v>420</v>
      </c>
      <c r="Z76" s="371">
        <v>460</v>
      </c>
      <c r="AA76" s="371">
        <v>485</v>
      </c>
      <c r="AB76" s="371">
        <v>510</v>
      </c>
      <c r="AC76"/>
      <c r="AD76"/>
      <c r="AE76"/>
      <c r="AF76"/>
      <c r="AG76" s="4"/>
      <c r="AH76" s="4"/>
      <c r="AI76" s="4"/>
      <c r="AJ76" s="4"/>
      <c r="AK76" s="4"/>
      <c r="AL76" s="4"/>
      <c r="AM76" s="4"/>
      <c r="AN76" s="4"/>
      <c r="AO76"/>
      <c r="AP76"/>
    </row>
    <row r="77" spans="16:42" ht="15" customHeight="1" thickBot="1" x14ac:dyDescent="0.25">
      <c r="P77" s="2">
        <v>8000</v>
      </c>
      <c r="Q77" s="7">
        <v>170</v>
      </c>
      <c r="R77" s="7">
        <v>185</v>
      </c>
      <c r="S77" s="7">
        <v>200</v>
      </c>
      <c r="T77" s="321">
        <v>260</v>
      </c>
      <c r="U77" s="321">
        <v>280</v>
      </c>
      <c r="V77" s="321">
        <v>300</v>
      </c>
      <c r="W77" s="13">
        <v>415</v>
      </c>
      <c r="X77" s="24">
        <v>440</v>
      </c>
      <c r="Y77" s="24">
        <v>465</v>
      </c>
      <c r="Z77" s="372">
        <v>505</v>
      </c>
      <c r="AA77" s="372">
        <v>535</v>
      </c>
      <c r="AB77" s="372">
        <v>565</v>
      </c>
      <c r="AC77"/>
      <c r="AD77" s="862" t="s">
        <v>12</v>
      </c>
      <c r="AE77" s="864"/>
      <c r="AF77" s="862" t="s">
        <v>12</v>
      </c>
      <c r="AG77" s="863"/>
      <c r="AH77" s="864" t="s">
        <v>12</v>
      </c>
      <c r="AI77" s="863"/>
      <c r="AJ77" s="862" t="s">
        <v>12</v>
      </c>
      <c r="AK77" s="864"/>
      <c r="AL77" s="862" t="s">
        <v>12</v>
      </c>
      <c r="AM77" s="863"/>
      <c r="AN77" s="864" t="s">
        <v>12</v>
      </c>
      <c r="AO77" s="863"/>
      <c r="AP77"/>
    </row>
    <row r="78" spans="16:42" ht="15" customHeight="1" x14ac:dyDescent="0.2">
      <c r="P78" s="2"/>
      <c r="Q78"/>
      <c r="R78"/>
      <c r="S78"/>
      <c r="T78"/>
      <c r="U78"/>
      <c r="V78"/>
      <c r="W78"/>
      <c r="X78"/>
      <c r="Y78"/>
      <c r="Z78"/>
      <c r="AA78"/>
      <c r="AB78"/>
      <c r="AC78" s="2" t="s">
        <v>187</v>
      </c>
      <c r="AD78" s="566" t="s">
        <v>270</v>
      </c>
      <c r="AE78" s="573" t="s">
        <v>271</v>
      </c>
      <c r="AF78" s="577" t="s">
        <v>274</v>
      </c>
      <c r="AG78" s="578" t="s">
        <v>271</v>
      </c>
      <c r="AH78" s="575" t="s">
        <v>276</v>
      </c>
      <c r="AI78" s="567" t="s">
        <v>271</v>
      </c>
      <c r="AJ78" s="585" t="s">
        <v>255</v>
      </c>
      <c r="AK78" s="586" t="s">
        <v>254</v>
      </c>
      <c r="AL78" s="587" t="s">
        <v>279</v>
      </c>
      <c r="AM78" s="588" t="s">
        <v>254</v>
      </c>
      <c r="AN78" s="589" t="s">
        <v>260</v>
      </c>
      <c r="AO78" s="590" t="s">
        <v>254</v>
      </c>
      <c r="AP78"/>
    </row>
    <row r="79" spans="16:42" ht="15" customHeight="1" thickBot="1" x14ac:dyDescent="0.25">
      <c r="P79" s="2" t="s">
        <v>59</v>
      </c>
      <c r="Q79" s="9">
        <f>135+0.00375*K9</f>
        <v>136.5975</v>
      </c>
      <c r="R79" s="9">
        <f>145+0.005*K9</f>
        <v>147.13</v>
      </c>
      <c r="S79" s="9">
        <f>155+0.005*K9</f>
        <v>157.13</v>
      </c>
      <c r="T79" s="325">
        <f>205+0.00625*K9</f>
        <v>207.66249999999999</v>
      </c>
      <c r="U79" s="325">
        <f>220+0.0075*K9</f>
        <v>223.19499999999999</v>
      </c>
      <c r="V79" s="325">
        <f>235+0.0075*K9</f>
        <v>238.19499999999999</v>
      </c>
      <c r="W79" s="9">
        <f>350+0.0075*K9</f>
        <v>353.19499999999999</v>
      </c>
      <c r="X79" s="9">
        <f>370+0.0075*K9</f>
        <v>373.19499999999999</v>
      </c>
      <c r="Y79" s="9">
        <f>390+0.0075*K9</f>
        <v>393.19499999999999</v>
      </c>
      <c r="Z79" s="325">
        <f>420+0.01*K9</f>
        <v>424.26</v>
      </c>
      <c r="AA79" s="325">
        <f>445+0.01*K9</f>
        <v>449.26</v>
      </c>
      <c r="AB79" s="325">
        <f>470+0.01*K9</f>
        <v>474.26</v>
      </c>
      <c r="AC79" s="562" t="s">
        <v>211</v>
      </c>
      <c r="AD79" s="568" t="s">
        <v>272</v>
      </c>
      <c r="AE79" s="574" t="s">
        <v>273</v>
      </c>
      <c r="AF79" s="568" t="s">
        <v>275</v>
      </c>
      <c r="AG79" s="569" t="s">
        <v>254</v>
      </c>
      <c r="AH79" s="576" t="s">
        <v>277</v>
      </c>
      <c r="AI79" s="569" t="s">
        <v>256</v>
      </c>
      <c r="AJ79" s="591" t="s">
        <v>278</v>
      </c>
      <c r="AK79" s="592" t="s">
        <v>256</v>
      </c>
      <c r="AL79" s="591" t="s">
        <v>280</v>
      </c>
      <c r="AM79" s="593" t="s">
        <v>259</v>
      </c>
      <c r="AN79" s="594" t="s">
        <v>228</v>
      </c>
      <c r="AO79" s="593" t="s">
        <v>261</v>
      </c>
      <c r="AP79"/>
    </row>
    <row r="80" spans="16:42" ht="15" customHeight="1" x14ac:dyDescent="0.2">
      <c r="P80" s="2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</row>
    <row r="81" spans="16:42" ht="15" customHeight="1" x14ac:dyDescent="0.2">
      <c r="P81" s="2" t="s">
        <v>60</v>
      </c>
      <c r="Q81" s="9">
        <f>130+0.005*K9</f>
        <v>132.13</v>
      </c>
      <c r="R81" s="9">
        <f>145+0.005*K9</f>
        <v>147.13</v>
      </c>
      <c r="S81" s="9">
        <f>150+0.00625*K9</f>
        <v>152.66249999999999</v>
      </c>
      <c r="T81" s="325">
        <f>200+0.0075*K9</f>
        <v>203.19499999999999</v>
      </c>
      <c r="U81" s="325">
        <f>220+0.0075*K9</f>
        <v>223.19499999999999</v>
      </c>
      <c r="V81" s="325">
        <f>230+0.00875*K9</f>
        <v>233.72749999999999</v>
      </c>
      <c r="W81" s="9">
        <f>345+0.00875*K9</f>
        <v>348.72750000000002</v>
      </c>
      <c r="X81" s="9">
        <f>360+0.01*K9</f>
        <v>364.26</v>
      </c>
      <c r="Y81" s="9">
        <f>375+0.01125*K9</f>
        <v>379.79250000000002</v>
      </c>
      <c r="Z81" s="325">
        <f>415+0.01125*K9</f>
        <v>419.79250000000002</v>
      </c>
      <c r="AA81" s="325">
        <f>435+0.0125*K9</f>
        <v>440.32499999999999</v>
      </c>
      <c r="AB81" s="325" t="s">
        <v>281</v>
      </c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</row>
    <row r="82" spans="16:42" ht="15" customHeight="1" thickBot="1" x14ac:dyDescent="0.25">
      <c r="P82" s="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</row>
    <row r="83" spans="16:42" ht="15" customHeight="1" thickBot="1" x14ac:dyDescent="0.25">
      <c r="P83" t="s">
        <v>23</v>
      </c>
      <c r="Q83" s="381">
        <f>IF($K$9&lt;=4000,Q79,Q81)</f>
        <v>136.5975</v>
      </c>
      <c r="R83" s="382">
        <f t="shared" ref="R83:AB83" si="13">IF($K$9&lt;=4000,R79,R81)</f>
        <v>147.13</v>
      </c>
      <c r="S83" s="382">
        <f t="shared" si="13"/>
        <v>157.13</v>
      </c>
      <c r="T83" s="383">
        <f t="shared" si="13"/>
        <v>207.66249999999999</v>
      </c>
      <c r="U83" s="383">
        <f t="shared" si="13"/>
        <v>223.19499999999999</v>
      </c>
      <c r="V83" s="384">
        <f t="shared" si="13"/>
        <v>238.19499999999999</v>
      </c>
      <c r="W83" s="381">
        <f t="shared" si="13"/>
        <v>353.19499999999999</v>
      </c>
      <c r="X83" s="382">
        <f t="shared" si="13"/>
        <v>373.19499999999999</v>
      </c>
      <c r="Y83" s="382">
        <f t="shared" si="13"/>
        <v>393.19499999999999</v>
      </c>
      <c r="Z83" s="383">
        <f t="shared" si="13"/>
        <v>424.26</v>
      </c>
      <c r="AA83" s="383">
        <f t="shared" si="13"/>
        <v>449.26</v>
      </c>
      <c r="AB83" s="385">
        <f t="shared" si="13"/>
        <v>474.26</v>
      </c>
      <c r="AC83" s="599"/>
      <c r="AD83" s="599"/>
      <c r="AE83" s="599"/>
      <c r="AF83" s="599"/>
      <c r="AG83" s="599"/>
      <c r="AH83" s="599"/>
      <c r="AI83" s="599"/>
      <c r="AJ83" s="599"/>
      <c r="AK83" s="599"/>
      <c r="AL83" s="599"/>
      <c r="AM83" s="599"/>
      <c r="AN83" s="599"/>
      <c r="AO83" s="599"/>
      <c r="AP83" s="599"/>
    </row>
    <row r="84" spans="16:42" ht="15" customHeight="1" x14ac:dyDescent="0.2"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</row>
    <row r="85" spans="16:42" ht="15" customHeight="1" x14ac:dyDescent="0.2"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</row>
    <row r="86" spans="16:42" ht="15" customHeight="1" x14ac:dyDescent="0.2">
      <c r="P86"/>
      <c r="Q86" s="4" t="s">
        <v>40</v>
      </c>
      <c r="R86"/>
      <c r="S86"/>
      <c r="T86" s="4" t="s">
        <v>41</v>
      </c>
      <c r="U86"/>
      <c r="V86"/>
      <c r="W86" s="4" t="s">
        <v>51</v>
      </c>
      <c r="X86"/>
      <c r="Y86"/>
      <c r="Z86" s="4" t="s">
        <v>52</v>
      </c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</row>
    <row r="87" spans="16:42" ht="15" customHeight="1" x14ac:dyDescent="0.2">
      <c r="P87" t="s">
        <v>29</v>
      </c>
      <c r="Q87" s="31">
        <f>IF(T64&gt;=Q64,R83+((S83-R83)/20)*(T64-Q64),R83-((R83-Q83)/20)*(Q64-T64))</f>
        <v>156.05599999999998</v>
      </c>
      <c r="R87"/>
      <c r="S87"/>
      <c r="T87" s="479">
        <f>IF(T64&gt;=Q64,U83+((V83-U83)/20)*(T64-Q64),U83-((U83-T83)/20)*(Q64-T64))</f>
        <v>236.584</v>
      </c>
      <c r="U87" t="s">
        <v>4</v>
      </c>
      <c r="V87"/>
      <c r="W87" s="31">
        <f>IF(Z64&gt;=W64,X83+((Y83-X83)/20)*(T64-Q64),X83-((X83-W83)/20)*(Q64-T64))</f>
        <v>391.04699999999997</v>
      </c>
      <c r="X87"/>
      <c r="Y87"/>
      <c r="Z87" s="479">
        <f>IF(AQ64&gt;=Z64,AA83+((AB83-AA83)/20)*(T64-Q64),AA83-((AA83-Z83)/20)*(Q64-T64))</f>
        <v>471.57499999999999</v>
      </c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</row>
    <row r="88" spans="16:42" ht="15" customHeight="1" x14ac:dyDescent="0.2">
      <c r="P88"/>
      <c r="Q88"/>
      <c r="R88" s="45"/>
      <c r="S88" t="s">
        <v>4</v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</row>
    <row r="89" spans="16:42" ht="15" customHeight="1" x14ac:dyDescent="0.2">
      <c r="P89"/>
      <c r="Q89" s="4" t="s">
        <v>40</v>
      </c>
      <c r="R89"/>
      <c r="S89"/>
      <c r="T89" s="4" t="s">
        <v>41</v>
      </c>
      <c r="U89"/>
      <c r="V89"/>
      <c r="W89" s="4" t="s">
        <v>51</v>
      </c>
      <c r="X89"/>
      <c r="Y89"/>
      <c r="Z89" s="4" t="s">
        <v>52</v>
      </c>
      <c r="AA89"/>
      <c r="AB89" t="s">
        <v>4</v>
      </c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</row>
    <row r="90" spans="16:42" ht="15" customHeight="1" thickBot="1" x14ac:dyDescent="0.25">
      <c r="P90" t="s">
        <v>25</v>
      </c>
      <c r="Q90" s="393">
        <f>Q87+(Q66-Q87)/200*(H8-665)</f>
        <v>200.54699545</v>
      </c>
      <c r="R90"/>
      <c r="S90"/>
      <c r="T90" s="610">
        <f>T87+(T66-T87)/200*(H8-665)</f>
        <v>299.29597337404999</v>
      </c>
      <c r="U90"/>
      <c r="V90"/>
      <c r="W90" s="394">
        <f>W87+(W66-W87)/200*(H8-665)</f>
        <v>463.60972142405001</v>
      </c>
      <c r="X90"/>
      <c r="Y90"/>
      <c r="Z90" s="611">
        <f>Z87+(Z66-Z87)/200*(H8-665)</f>
        <v>562.3586993481</v>
      </c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</row>
    <row r="91" spans="16:42" ht="15" customHeight="1" thickBot="1" x14ac:dyDescent="0.25">
      <c r="P91"/>
      <c r="Q91"/>
      <c r="R91"/>
      <c r="S91"/>
      <c r="T91"/>
      <c r="U91" s="492">
        <f>H13</f>
        <v>-4.3301270189221945</v>
      </c>
      <c r="V91" s="613">
        <f>-INT(U91)</f>
        <v>5</v>
      </c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</row>
    <row r="92" spans="16:42" ht="79.5" customHeight="1" thickBot="1" x14ac:dyDescent="0.25">
      <c r="P92"/>
      <c r="Q92" s="32" t="s">
        <v>54</v>
      </c>
      <c r="R92"/>
      <c r="S92"/>
      <c r="T92" s="32" t="s">
        <v>53</v>
      </c>
      <c r="U92"/>
      <c r="V92"/>
      <c r="W92" s="32" t="s">
        <v>55</v>
      </c>
      <c r="X92" t="s">
        <v>4</v>
      </c>
      <c r="Y92"/>
      <c r="Z92" s="32" t="s">
        <v>56</v>
      </c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</row>
    <row r="93" spans="16:42" ht="15" customHeight="1" thickBot="1" x14ac:dyDescent="0.25">
      <c r="P93" t="s">
        <v>26</v>
      </c>
      <c r="Q93" s="612">
        <f>IF(H13&gt;=-10,(1-0.023*V91)*Q90,IF(H13&gt;=-20,(0.92-0.015*V91)*Q90,(0.84-0.011*V91)*Q90))</f>
        <v>177.48409097325001</v>
      </c>
      <c r="R93" t="s">
        <v>4</v>
      </c>
      <c r="S93"/>
      <c r="T93" s="614">
        <f>IF(H13&gt;=-10,(1-0.023*V91)*T90,IF(H13&gt;=-20,(0.92-0.015*V91)*T90,(0.84-0.011*V91)*T90))</f>
        <v>264.87693643603427</v>
      </c>
      <c r="U93"/>
      <c r="V93"/>
      <c r="W93" s="612">
        <f>IF(H13&gt;=-10,(1-0.023*V91)*W90,IF(H13&gt;=-20,(0.92-0.015*V91)*W90,(0.84-0.011*V91)*W90))</f>
        <v>410.29460346028424</v>
      </c>
      <c r="X93"/>
      <c r="Y93"/>
      <c r="Z93" s="614">
        <f>IF(H13&gt;=-10,(1-0.023*V91)*Z90,IF(H13&gt;=-20,(0.92-0.015*V91)*Z90,(0.84-0.011*V91)*Z90))</f>
        <v>497.68744892306853</v>
      </c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</row>
    <row r="94" spans="16:42" ht="15" customHeight="1" x14ac:dyDescent="0.2">
      <c r="P94"/>
      <c r="Q94" s="163"/>
      <c r="R94"/>
      <c r="S94"/>
      <c r="T94" s="163"/>
      <c r="U94"/>
      <c r="V94"/>
      <c r="W94" s="163"/>
      <c r="X94"/>
      <c r="Y94"/>
      <c r="Z94" s="163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</row>
    <row r="95" spans="16:42" ht="15" customHeight="1" x14ac:dyDescent="0.2">
      <c r="P95"/>
      <c r="Q95" s="163"/>
      <c r="R95"/>
      <c r="S95"/>
      <c r="T95" s="163"/>
      <c r="U95"/>
      <c r="V95"/>
      <c r="W95" s="163"/>
      <c r="X95"/>
      <c r="Y95"/>
      <c r="Z95" s="163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</row>
    <row r="96" spans="16:42" ht="15" customHeight="1" x14ac:dyDescent="0.2"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</row>
    <row r="97" spans="16:25" ht="15" customHeight="1" x14ac:dyDescent="0.2">
      <c r="P97" s="1" t="s">
        <v>108</v>
      </c>
    </row>
    <row r="98" spans="16:25" ht="15" customHeight="1" x14ac:dyDescent="0.2">
      <c r="P98" s="83" t="s">
        <v>109</v>
      </c>
      <c r="Q98" s="3">
        <f>H6</f>
        <v>75</v>
      </c>
      <c r="S98" s="3">
        <f>RADIANS(Q98)</f>
        <v>1.3089969389957472</v>
      </c>
      <c r="U98" s="1" t="s">
        <v>111</v>
      </c>
      <c r="V98" s="3">
        <f>RADIANS(270)-S98</f>
        <v>3.4033920413889422</v>
      </c>
      <c r="X98" s="1" t="s">
        <v>113</v>
      </c>
      <c r="Y98" s="3">
        <f>Q99*(COS(V98)*COS(V100)+SIN(V98)*SIN(V100))</f>
        <v>-4.3301270189221945</v>
      </c>
    </row>
    <row r="99" spans="16:25" ht="15" customHeight="1" x14ac:dyDescent="0.2">
      <c r="P99" s="83" t="s">
        <v>110</v>
      </c>
      <c r="Q99" s="3">
        <f>H7</f>
        <v>5</v>
      </c>
    </row>
    <row r="100" spans="16:25" ht="15" customHeight="1" x14ac:dyDescent="0.2">
      <c r="P100" s="83" t="s">
        <v>70</v>
      </c>
      <c r="Q100" s="3">
        <f>H5</f>
        <v>105</v>
      </c>
      <c r="S100" s="3">
        <f>RADIANS(Q100)</f>
        <v>1.8325957145940461</v>
      </c>
      <c r="U100" s="1" t="s">
        <v>112</v>
      </c>
      <c r="V100" s="3">
        <f>RADIANS(90)-S100</f>
        <v>-0.26179938779914957</v>
      </c>
      <c r="X100" s="1" t="s">
        <v>114</v>
      </c>
      <c r="Y100" s="607">
        <f>Q99*(SIN(V98)*COS(V100)-COS(V98)*SIN(V100))</f>
        <v>-2.4999999999999991</v>
      </c>
    </row>
    <row r="104" spans="16:25" ht="15" customHeight="1" x14ac:dyDescent="0.2">
      <c r="R104" s="1" t="s">
        <v>4</v>
      </c>
    </row>
  </sheetData>
  <mergeCells count="190">
    <mergeCell ref="AD77:AE77"/>
    <mergeCell ref="AF77:AG77"/>
    <mergeCell ref="AH77:AI77"/>
    <mergeCell ref="AJ77:AK77"/>
    <mergeCell ref="AL77:AM77"/>
    <mergeCell ref="AN77:AO77"/>
    <mergeCell ref="AD73:AE73"/>
    <mergeCell ref="AF73:AG73"/>
    <mergeCell ref="AD56:AE56"/>
    <mergeCell ref="AF56:AG56"/>
    <mergeCell ref="AH56:AI56"/>
    <mergeCell ref="AJ56:AK56"/>
    <mergeCell ref="AL56:AM56"/>
    <mergeCell ref="AN56:AO56"/>
    <mergeCell ref="AD52:AE52"/>
    <mergeCell ref="AF52:AG52"/>
    <mergeCell ref="AH73:AI73"/>
    <mergeCell ref="AJ73:AK73"/>
    <mergeCell ref="AD71:AI71"/>
    <mergeCell ref="AJ71:AO71"/>
    <mergeCell ref="AD72:AE72"/>
    <mergeCell ref="AF72:AG72"/>
    <mergeCell ref="AH72:AI72"/>
    <mergeCell ref="AJ72:AK72"/>
    <mergeCell ref="AL72:AM72"/>
    <mergeCell ref="AN72:AO72"/>
    <mergeCell ref="AL73:AM73"/>
    <mergeCell ref="AN73:AO73"/>
    <mergeCell ref="AH52:AI52"/>
    <mergeCell ref="AJ52:AK52"/>
    <mergeCell ref="AD50:AI50"/>
    <mergeCell ref="AJ50:AO50"/>
    <mergeCell ref="AD51:AE51"/>
    <mergeCell ref="AF51:AG51"/>
    <mergeCell ref="AH51:AI51"/>
    <mergeCell ref="AJ51:AK51"/>
    <mergeCell ref="AL51:AM51"/>
    <mergeCell ref="AN51:AO51"/>
    <mergeCell ref="AL52:AM52"/>
    <mergeCell ref="AN52:AO52"/>
    <mergeCell ref="BE36:BF36"/>
    <mergeCell ref="AS17:AT17"/>
    <mergeCell ref="AU17:AX17"/>
    <mergeCell ref="AY17:BB17"/>
    <mergeCell ref="AU18:AV18"/>
    <mergeCell ref="AW18:AX18"/>
    <mergeCell ref="AY18:AZ18"/>
    <mergeCell ref="BA18:BB18"/>
    <mergeCell ref="AU19:AV19"/>
    <mergeCell ref="AW19:AX19"/>
    <mergeCell ref="AY19:AZ19"/>
    <mergeCell ref="BA19:BB19"/>
    <mergeCell ref="AS2:AT2"/>
    <mergeCell ref="BP4:BQ4"/>
    <mergeCell ref="BR4:BS4"/>
    <mergeCell ref="BT4:BU4"/>
    <mergeCell ref="BG3:BH3"/>
    <mergeCell ref="BN4:BO4"/>
    <mergeCell ref="AU2:AX2"/>
    <mergeCell ref="AY2:BB2"/>
    <mergeCell ref="AU3:AV3"/>
    <mergeCell ref="AW3:AX3"/>
    <mergeCell ref="B1:D1"/>
    <mergeCell ref="K3:L3"/>
    <mergeCell ref="F25:G25"/>
    <mergeCell ref="F23:G23"/>
    <mergeCell ref="G3:H3"/>
    <mergeCell ref="F1:M1"/>
    <mergeCell ref="K9:L9"/>
    <mergeCell ref="F15:M15"/>
    <mergeCell ref="F19:M19"/>
    <mergeCell ref="Q2:V2"/>
    <mergeCell ref="W2:AB2"/>
    <mergeCell ref="Q3:R3"/>
    <mergeCell ref="S3:T3"/>
    <mergeCell ref="U3:V3"/>
    <mergeCell ref="W3:X3"/>
    <mergeCell ref="Y3:Z3"/>
    <mergeCell ref="AA3:AB3"/>
    <mergeCell ref="K7:L7"/>
    <mergeCell ref="Q41:R41"/>
    <mergeCell ref="W41:X41"/>
    <mergeCell ref="T44:U44"/>
    <mergeCell ref="T47:U47"/>
    <mergeCell ref="Q37:R37"/>
    <mergeCell ref="W37:X37"/>
    <mergeCell ref="Q38:R38"/>
    <mergeCell ref="W38:X38"/>
    <mergeCell ref="Q23:V23"/>
    <mergeCell ref="W23:AB23"/>
    <mergeCell ref="Q24:R24"/>
    <mergeCell ref="S24:T24"/>
    <mergeCell ref="U24:V24"/>
    <mergeCell ref="W24:X24"/>
    <mergeCell ref="Y24:Z24"/>
    <mergeCell ref="AA24:AB24"/>
    <mergeCell ref="Q52:S52"/>
    <mergeCell ref="T52:V52"/>
    <mergeCell ref="W52:Y52"/>
    <mergeCell ref="Z52:AB52"/>
    <mergeCell ref="Q50:V50"/>
    <mergeCell ref="W50:AB50"/>
    <mergeCell ref="Q51:S51"/>
    <mergeCell ref="T51:V51"/>
    <mergeCell ref="W51:Y51"/>
    <mergeCell ref="Z51:AB51"/>
    <mergeCell ref="Q73:S73"/>
    <mergeCell ref="T73:V73"/>
    <mergeCell ref="W73:Y73"/>
    <mergeCell ref="Z73:AB73"/>
    <mergeCell ref="Q71:V71"/>
    <mergeCell ref="W71:AB71"/>
    <mergeCell ref="Q72:S72"/>
    <mergeCell ref="T72:V72"/>
    <mergeCell ref="W72:Y72"/>
    <mergeCell ref="Z72:AB72"/>
    <mergeCell ref="BW2:BZ2"/>
    <mergeCell ref="BW3:BX3"/>
    <mergeCell ref="BY3:BZ3"/>
    <mergeCell ref="BE2:BH2"/>
    <mergeCell ref="BE3:BF3"/>
    <mergeCell ref="AY3:AZ3"/>
    <mergeCell ref="BA3:BB3"/>
    <mergeCell ref="BE15:BH15"/>
    <mergeCell ref="BE22:BF22"/>
    <mergeCell ref="BG22:BH22"/>
    <mergeCell ref="BE21:BH21"/>
    <mergeCell ref="BR16:BS16"/>
    <mergeCell ref="BT16:BU16"/>
    <mergeCell ref="BN16:BO16"/>
    <mergeCell ref="BP16:BQ16"/>
    <mergeCell ref="BE16:BF16"/>
    <mergeCell ref="BG16:BH16"/>
    <mergeCell ref="BE29:BJ29"/>
    <mergeCell ref="BW15:BZ15"/>
    <mergeCell ref="BW16:BX16"/>
    <mergeCell ref="BY16:BZ16"/>
    <mergeCell ref="BW22:BZ22"/>
    <mergeCell ref="BW23:BX23"/>
    <mergeCell ref="BY23:BZ23"/>
    <mergeCell ref="BW27:BZ27"/>
    <mergeCell ref="BW28:BX28"/>
    <mergeCell ref="BY28:BZ28"/>
    <mergeCell ref="BE25:BF25"/>
    <mergeCell ref="AD4:AE4"/>
    <mergeCell ref="AF4:AG4"/>
    <mergeCell ref="AH4:AI4"/>
    <mergeCell ref="AJ4:AK4"/>
    <mergeCell ref="AD2:AI2"/>
    <mergeCell ref="AJ2:AO2"/>
    <mergeCell ref="AD3:AE3"/>
    <mergeCell ref="AF3:AG3"/>
    <mergeCell ref="AD8:AE8"/>
    <mergeCell ref="AF8:AG8"/>
    <mergeCell ref="AH8:AI8"/>
    <mergeCell ref="AJ8:AK8"/>
    <mergeCell ref="AL8:AM8"/>
    <mergeCell ref="AN8:AO8"/>
    <mergeCell ref="AH3:AI3"/>
    <mergeCell ref="AJ3:AK3"/>
    <mergeCell ref="AL3:AM3"/>
    <mergeCell ref="AN3:AO3"/>
    <mergeCell ref="AL4:AM4"/>
    <mergeCell ref="AN4:AO4"/>
    <mergeCell ref="AL29:AM29"/>
    <mergeCell ref="AN29:AO29"/>
    <mergeCell ref="AD25:AE25"/>
    <mergeCell ref="AF25:AG25"/>
    <mergeCell ref="AH25:AI25"/>
    <mergeCell ref="AJ25:AK25"/>
    <mergeCell ref="AD29:AE29"/>
    <mergeCell ref="AF29:AG29"/>
    <mergeCell ref="AH29:AI29"/>
    <mergeCell ref="AJ29:AK29"/>
    <mergeCell ref="CD14:CE14"/>
    <mergeCell ref="B25:D25"/>
    <mergeCell ref="AL25:AM25"/>
    <mergeCell ref="AN25:AO25"/>
    <mergeCell ref="AD23:AI23"/>
    <mergeCell ref="AJ23:AO23"/>
    <mergeCell ref="AD24:AE24"/>
    <mergeCell ref="AF24:AG24"/>
    <mergeCell ref="AH24:AI24"/>
    <mergeCell ref="AJ24:AK24"/>
    <mergeCell ref="AL24:AM24"/>
    <mergeCell ref="AN24:AO24"/>
    <mergeCell ref="Q17:R17"/>
    <mergeCell ref="W17:X17"/>
    <mergeCell ref="Q18:R18"/>
    <mergeCell ref="W18:X18"/>
  </mergeCells>
  <phoneticPr fontId="0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6DD9-7697-42FB-97DC-3E8E3C69AA39}">
  <dimension ref="B1:BH194"/>
  <sheetViews>
    <sheetView workbookViewId="0">
      <selection activeCell="C14" sqref="C14"/>
    </sheetView>
  </sheetViews>
  <sheetFormatPr baseColWidth="10" defaultColWidth="10.7109375" defaultRowHeight="15" customHeight="1" outlineLevelCol="1" x14ac:dyDescent="0.2"/>
  <cols>
    <col min="1" max="1" width="4.7109375" style="1" customWidth="1"/>
    <col min="2" max="4" width="11.42578125" style="1" customWidth="1"/>
    <col min="5" max="5" width="4.7109375" style="1" customWidth="1"/>
    <col min="6" max="6" width="15.7109375" style="1" customWidth="1"/>
    <col min="7" max="7" width="14.42578125" style="1" customWidth="1"/>
    <col min="8" max="8" width="12.7109375" style="1" customWidth="1"/>
    <col min="9" max="9" width="14.7109375" style="1" customWidth="1"/>
    <col min="10" max="10" width="16.42578125" style="1" bestFit="1" customWidth="1"/>
    <col min="11" max="11" width="5.7109375" style="1" customWidth="1"/>
    <col min="12" max="12" width="5.7109375" style="1" customWidth="1" outlineLevel="1"/>
    <col min="13" max="13" width="4.7109375" style="1" customWidth="1" outlineLevel="1"/>
    <col min="14" max="14" width="7.7109375" style="2" hidden="1" customWidth="1"/>
    <col min="15" max="23" width="10.7109375" style="1" hidden="1" customWidth="1"/>
    <col min="24" max="24" width="10.7109375" style="2" hidden="1" customWidth="1"/>
    <col min="25" max="31" width="10.7109375" style="1" hidden="1" customWidth="1"/>
    <col min="32" max="32" width="12" style="1" hidden="1" customWidth="1"/>
    <col min="33" max="49" width="10.7109375" style="1" hidden="1" customWidth="1"/>
    <col min="50" max="50" width="16.5703125" style="2" hidden="1" customWidth="1"/>
    <col min="51" max="51" width="10.7109375" style="2" hidden="1" customWidth="1"/>
    <col min="52" max="53" width="14.28515625" style="2" hidden="1" customWidth="1"/>
    <col min="54" max="56" width="10.7109375" style="1" hidden="1" customWidth="1"/>
    <col min="57" max="57" width="5.5703125" style="1" hidden="1" customWidth="1"/>
    <col min="58" max="58" width="14.7109375" style="1" customWidth="1"/>
    <col min="59" max="59" width="5.7109375" style="1" customWidth="1"/>
    <col min="60" max="60" width="14.5703125" style="1" customWidth="1"/>
    <col min="61" max="16384" width="10.7109375" style="1"/>
  </cols>
  <sheetData>
    <row r="1" spans="2:57" ht="24.95" customHeight="1" thickTop="1" thickBot="1" x14ac:dyDescent="0.25">
      <c r="B1" s="905" t="s">
        <v>80</v>
      </c>
      <c r="C1" s="906"/>
      <c r="D1" s="907"/>
      <c r="F1" s="905" t="s">
        <v>94</v>
      </c>
      <c r="G1" s="906"/>
      <c r="H1" s="906"/>
      <c r="I1" s="906"/>
      <c r="J1" s="906"/>
      <c r="K1" s="906"/>
      <c r="L1" s="906"/>
      <c r="M1" s="907"/>
      <c r="N1" s="4"/>
      <c r="O1" s="16" t="s">
        <v>153</v>
      </c>
      <c r="P1"/>
      <c r="Q1"/>
      <c r="R1"/>
      <c r="S1"/>
      <c r="T1"/>
      <c r="U1"/>
      <c r="V1"/>
      <c r="AF1" s="251" t="s">
        <v>152</v>
      </c>
      <c r="AX1" s="2" t="s">
        <v>287</v>
      </c>
      <c r="AY1" s="2" t="s">
        <v>306</v>
      </c>
      <c r="AZ1" s="2" t="s">
        <v>294</v>
      </c>
      <c r="BA1" s="2" t="s">
        <v>307</v>
      </c>
    </row>
    <row r="2" spans="2:57" ht="15" customHeight="1" thickTop="1" thickBot="1" x14ac:dyDescent="0.25">
      <c r="B2" s="33"/>
      <c r="D2" s="34"/>
      <c r="F2" s="33"/>
      <c r="M2" s="34"/>
      <c r="N2" s="4"/>
      <c r="O2"/>
      <c r="P2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F2" s="16"/>
      <c r="AX2" s="2" t="s">
        <v>305</v>
      </c>
      <c r="AY2" s="17">
        <f>C7+C8</f>
        <v>160</v>
      </c>
      <c r="AZ2" s="5">
        <v>1.8</v>
      </c>
      <c r="BA2" s="17">
        <f>AY2*AZ2</f>
        <v>288</v>
      </c>
      <c r="BB2" s="2"/>
    </row>
    <row r="3" spans="2:57" ht="15" customHeight="1" thickBot="1" x14ac:dyDescent="0.25">
      <c r="B3" s="61" t="s">
        <v>81</v>
      </c>
      <c r="C3" s="56" t="s">
        <v>154</v>
      </c>
      <c r="D3" s="34"/>
      <c r="F3" s="33"/>
      <c r="G3" s="914" t="s">
        <v>47</v>
      </c>
      <c r="H3" s="915"/>
      <c r="K3" s="908" t="s">
        <v>58</v>
      </c>
      <c r="L3" s="909"/>
      <c r="M3" s="34"/>
      <c r="N3" s="4"/>
      <c r="O3" s="945" t="s">
        <v>167</v>
      </c>
      <c r="P3" s="946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F3" s="251" t="s">
        <v>176</v>
      </c>
      <c r="AG3" s="163"/>
      <c r="AH3" s="163"/>
      <c r="AI3" s="163"/>
      <c r="AJ3" s="163"/>
      <c r="AK3" s="163"/>
      <c r="AL3" s="163"/>
      <c r="AM3" s="163"/>
      <c r="AN3" s="163"/>
      <c r="AO3" s="163"/>
      <c r="AZ3" s="5"/>
    </row>
    <row r="4" spans="2:57" ht="15" customHeight="1" thickBot="1" x14ac:dyDescent="0.25">
      <c r="B4" s="33"/>
      <c r="D4" s="34"/>
      <c r="F4" s="33"/>
      <c r="M4" s="34"/>
      <c r="N4" s="4"/>
      <c r="O4" s="4"/>
      <c r="P4" s="4" t="s">
        <v>156</v>
      </c>
      <c r="Q4" s="163"/>
      <c r="R4" s="163"/>
      <c r="S4" s="237" t="s">
        <v>159</v>
      </c>
      <c r="T4" s="163"/>
      <c r="U4" s="163"/>
      <c r="V4" s="237" t="s">
        <v>160</v>
      </c>
      <c r="W4" s="237"/>
      <c r="X4" s="237"/>
      <c r="Y4" s="237" t="s">
        <v>161</v>
      </c>
      <c r="Z4" s="163"/>
      <c r="AA4" s="163"/>
      <c r="AB4" s="163"/>
      <c r="AC4" s="163"/>
      <c r="AD4" s="163"/>
      <c r="AF4" s="4"/>
      <c r="AG4" s="4" t="s">
        <v>156</v>
      </c>
      <c r="AH4" s="163"/>
      <c r="AI4" s="163"/>
      <c r="AJ4" s="163"/>
      <c r="AK4" s="237" t="s">
        <v>159</v>
      </c>
      <c r="AL4" s="163"/>
      <c r="AM4" s="163"/>
      <c r="AN4" s="163"/>
      <c r="AO4" s="237" t="s">
        <v>160</v>
      </c>
      <c r="AP4" s="237"/>
      <c r="AQ4" s="237"/>
      <c r="AR4" s="237"/>
      <c r="AS4" s="237" t="s">
        <v>161</v>
      </c>
      <c r="AT4" s="163"/>
      <c r="AX4" s="2" t="s">
        <v>87</v>
      </c>
      <c r="AY4" s="17">
        <f>C18</f>
        <v>50</v>
      </c>
      <c r="AZ4" s="5">
        <v>1.53</v>
      </c>
      <c r="BA4" s="17">
        <f>AY4*AZ4</f>
        <v>76.5</v>
      </c>
      <c r="BB4" s="1" t="s">
        <v>4</v>
      </c>
    </row>
    <row r="5" spans="2:57" ht="15" customHeight="1" thickBot="1" x14ac:dyDescent="0.25">
      <c r="B5" s="62" t="s">
        <v>82</v>
      </c>
      <c r="C5" s="57">
        <v>368</v>
      </c>
      <c r="D5" s="44" t="s">
        <v>65</v>
      </c>
      <c r="F5" s="68" t="s">
        <v>75</v>
      </c>
      <c r="G5" s="5" t="s">
        <v>70</v>
      </c>
      <c r="H5" s="92">
        <v>285</v>
      </c>
      <c r="M5" s="34"/>
      <c r="N5" s="4"/>
      <c r="O5" s="132" t="s">
        <v>31</v>
      </c>
      <c r="P5" s="244" t="s">
        <v>157</v>
      </c>
      <c r="Q5" s="238" t="s">
        <v>158</v>
      </c>
      <c r="R5" s="132" t="s">
        <v>31</v>
      </c>
      <c r="S5" s="244" t="s">
        <v>157</v>
      </c>
      <c r="T5" s="238" t="s">
        <v>158</v>
      </c>
      <c r="U5" s="132" t="s">
        <v>31</v>
      </c>
      <c r="V5" s="244" t="s">
        <v>157</v>
      </c>
      <c r="W5" s="238" t="s">
        <v>158</v>
      </c>
      <c r="X5" s="132" t="s">
        <v>31</v>
      </c>
      <c r="Y5" s="244" t="s">
        <v>157</v>
      </c>
      <c r="Z5" s="238" t="s">
        <v>158</v>
      </c>
      <c r="AA5" s="237"/>
      <c r="AB5" s="237"/>
      <c r="AC5" s="237"/>
      <c r="AD5" s="237"/>
      <c r="AF5" s="132" t="s">
        <v>31</v>
      </c>
      <c r="AG5" s="244" t="s">
        <v>157</v>
      </c>
      <c r="AH5" s="254" t="s">
        <v>98</v>
      </c>
      <c r="AI5" s="256" t="s">
        <v>178</v>
      </c>
      <c r="AJ5" s="132" t="s">
        <v>31</v>
      </c>
      <c r="AK5" s="244" t="s">
        <v>157</v>
      </c>
      <c r="AL5" s="254" t="s">
        <v>98</v>
      </c>
      <c r="AM5" s="256" t="s">
        <v>178</v>
      </c>
      <c r="AN5" s="132" t="s">
        <v>31</v>
      </c>
      <c r="AO5" s="244" t="s">
        <v>157</v>
      </c>
      <c r="AP5" s="254" t="s">
        <v>98</v>
      </c>
      <c r="AQ5" s="256" t="s">
        <v>178</v>
      </c>
      <c r="AR5" s="132" t="s">
        <v>31</v>
      </c>
      <c r="AS5" s="244" t="s">
        <v>157</v>
      </c>
      <c r="AT5" s="254" t="s">
        <v>98</v>
      </c>
      <c r="AU5" s="238" t="s">
        <v>178</v>
      </c>
      <c r="AY5" s="534">
        <f>C20</f>
        <v>35.9</v>
      </c>
      <c r="AZ5" s="46"/>
    </row>
    <row r="6" spans="2:57" ht="15" customHeight="1" thickBot="1" x14ac:dyDescent="0.25">
      <c r="B6" s="62"/>
      <c r="D6" s="44"/>
      <c r="F6" s="68" t="s">
        <v>74</v>
      </c>
      <c r="G6" s="5" t="s">
        <v>71</v>
      </c>
      <c r="H6" s="93">
        <v>255</v>
      </c>
      <c r="J6" s="5" t="s">
        <v>95</v>
      </c>
      <c r="K6" s="262" t="str">
        <f>IF(Y35&lt;0,"D","G")</f>
        <v>D</v>
      </c>
      <c r="L6" s="263">
        <f>IF(Y35&gt;0,Y35,-Y35)</f>
        <v>2.4999999999999964</v>
      </c>
      <c r="M6" s="34"/>
      <c r="N6" s="4"/>
      <c r="O6" s="148"/>
      <c r="P6" s="9"/>
      <c r="Q6" s="239"/>
      <c r="R6" s="148"/>
      <c r="S6" s="9"/>
      <c r="T6" s="239"/>
      <c r="U6" s="148"/>
      <c r="V6" s="9"/>
      <c r="W6" s="239"/>
      <c r="X6" s="212"/>
      <c r="Y6" s="9"/>
      <c r="Z6" s="239"/>
      <c r="AA6" s="21"/>
      <c r="AB6" s="21"/>
      <c r="AC6" s="21"/>
      <c r="AD6" s="21"/>
      <c r="AF6" s="148"/>
      <c r="AG6" s="9"/>
      <c r="AH6" s="252" t="s">
        <v>177</v>
      </c>
      <c r="AI6" s="257"/>
      <c r="AJ6" s="148"/>
      <c r="AK6" s="9"/>
      <c r="AL6" s="252" t="s">
        <v>177</v>
      </c>
      <c r="AM6" s="257"/>
      <c r="AN6" s="148"/>
      <c r="AO6" s="9"/>
      <c r="AP6" s="252" t="s">
        <v>177</v>
      </c>
      <c r="AQ6" s="257"/>
      <c r="AR6" s="148"/>
      <c r="AS6" s="9"/>
      <c r="AT6" s="252" t="s">
        <v>177</v>
      </c>
      <c r="AU6" s="239"/>
      <c r="AX6" s="2" t="s">
        <v>308</v>
      </c>
      <c r="AY6" s="17">
        <f>C10</f>
        <v>15</v>
      </c>
      <c r="AZ6" s="5">
        <v>2.2000000000000002</v>
      </c>
      <c r="BA6" s="17">
        <f>AY6*AZ6</f>
        <v>33</v>
      </c>
    </row>
    <row r="7" spans="2:57" ht="15" customHeight="1" thickBot="1" x14ac:dyDescent="0.25">
      <c r="B7" s="62" t="s">
        <v>83</v>
      </c>
      <c r="C7" s="92">
        <v>80</v>
      </c>
      <c r="D7" s="44" t="s">
        <v>65</v>
      </c>
      <c r="F7" s="68" t="s">
        <v>69</v>
      </c>
      <c r="G7" s="5" t="s">
        <v>72</v>
      </c>
      <c r="H7" s="93">
        <v>5</v>
      </c>
      <c r="J7" s="5" t="s">
        <v>73</v>
      </c>
      <c r="K7" s="949">
        <f>Y33</f>
        <v>-4.3301270189221954</v>
      </c>
      <c r="L7" s="950"/>
      <c r="M7" s="34"/>
      <c r="N7" s="4">
        <v>1</v>
      </c>
      <c r="O7" s="242">
        <v>-15</v>
      </c>
      <c r="P7" s="245">
        <f>O7+30</f>
        <v>15</v>
      </c>
      <c r="Q7" s="240">
        <v>130</v>
      </c>
      <c r="R7" s="242">
        <v>-19</v>
      </c>
      <c r="S7" s="245">
        <f>R7+30</f>
        <v>11</v>
      </c>
      <c r="T7" s="240">
        <v>158</v>
      </c>
      <c r="U7" s="242">
        <v>-23</v>
      </c>
      <c r="V7" s="245">
        <f>U7+30</f>
        <v>7</v>
      </c>
      <c r="W7" s="240">
        <v>190</v>
      </c>
      <c r="X7" s="242">
        <v>-27</v>
      </c>
      <c r="Y7" s="245">
        <f>X7+30</f>
        <v>3</v>
      </c>
      <c r="Z7" s="240">
        <v>230</v>
      </c>
      <c r="AA7" s="163"/>
      <c r="AB7" s="163"/>
      <c r="AC7" s="163"/>
      <c r="AD7" s="163"/>
      <c r="AE7" s="1">
        <v>-20</v>
      </c>
      <c r="AF7" s="242">
        <v>-5</v>
      </c>
      <c r="AG7" s="245">
        <f>AF7+30</f>
        <v>25</v>
      </c>
      <c r="AH7" s="253">
        <v>235</v>
      </c>
      <c r="AI7" s="258">
        <v>88</v>
      </c>
      <c r="AJ7" s="242">
        <v>-9</v>
      </c>
      <c r="AK7" s="245">
        <f>AJ7+30</f>
        <v>21</v>
      </c>
      <c r="AL7" s="253">
        <v>241</v>
      </c>
      <c r="AM7" s="258">
        <v>94</v>
      </c>
      <c r="AN7" s="242">
        <v>-13</v>
      </c>
      <c r="AO7" s="245">
        <f>AN7+30</f>
        <v>17</v>
      </c>
      <c r="AP7" s="253">
        <v>248</v>
      </c>
      <c r="AQ7" s="258">
        <v>99</v>
      </c>
      <c r="AR7" s="242">
        <v>-17</v>
      </c>
      <c r="AS7" s="245">
        <f>AR7+30</f>
        <v>13</v>
      </c>
      <c r="AT7" s="253">
        <v>256</v>
      </c>
      <c r="AU7" s="235">
        <v>105</v>
      </c>
      <c r="AZ7" s="5"/>
    </row>
    <row r="8" spans="2:57" ht="15" customHeight="1" thickBot="1" x14ac:dyDescent="0.25">
      <c r="B8" s="62" t="s">
        <v>155</v>
      </c>
      <c r="C8" s="94">
        <v>80</v>
      </c>
      <c r="D8" s="44" t="s">
        <v>65</v>
      </c>
      <c r="F8" s="68" t="s">
        <v>65</v>
      </c>
      <c r="G8" s="5" t="s">
        <v>2</v>
      </c>
      <c r="H8" s="70">
        <f>C22</f>
        <v>578.9</v>
      </c>
      <c r="M8" s="34"/>
      <c r="N8" s="4">
        <v>2</v>
      </c>
      <c r="O8" s="242">
        <v>0</v>
      </c>
      <c r="P8" s="245">
        <f>O8+30</f>
        <v>30</v>
      </c>
      <c r="Q8" s="240">
        <v>144</v>
      </c>
      <c r="R8" s="242">
        <v>-4</v>
      </c>
      <c r="S8" s="245">
        <f>R8+30</f>
        <v>26</v>
      </c>
      <c r="T8" s="240">
        <v>172</v>
      </c>
      <c r="U8" s="242">
        <v>-8</v>
      </c>
      <c r="V8" s="245">
        <f>U8+30</f>
        <v>22</v>
      </c>
      <c r="W8" s="240">
        <v>210</v>
      </c>
      <c r="X8" s="242">
        <v>-12</v>
      </c>
      <c r="Y8" s="245">
        <f>X8+30</f>
        <v>18</v>
      </c>
      <c r="Z8" s="240">
        <v>255</v>
      </c>
      <c r="AA8" s="163"/>
      <c r="AB8" s="163"/>
      <c r="AC8" s="163"/>
      <c r="AD8" s="163"/>
      <c r="AE8" s="1">
        <v>-10</v>
      </c>
      <c r="AF8" s="242">
        <v>5</v>
      </c>
      <c r="AG8" s="245">
        <f>AF8+30</f>
        <v>35</v>
      </c>
      <c r="AH8" s="253">
        <v>239</v>
      </c>
      <c r="AI8" s="258">
        <v>92</v>
      </c>
      <c r="AJ8" s="242">
        <v>1</v>
      </c>
      <c r="AK8" s="245">
        <f>AJ8+30</f>
        <v>31</v>
      </c>
      <c r="AL8" s="253">
        <v>246</v>
      </c>
      <c r="AM8" s="258">
        <v>97</v>
      </c>
      <c r="AN8" s="242">
        <v>-3</v>
      </c>
      <c r="AO8" s="245">
        <f>AN8+30</f>
        <v>27</v>
      </c>
      <c r="AP8" s="253">
        <v>253</v>
      </c>
      <c r="AQ8" s="258">
        <v>103</v>
      </c>
      <c r="AR8" s="242">
        <v>-7</v>
      </c>
      <c r="AS8" s="245">
        <f>AR8+30</f>
        <v>23</v>
      </c>
      <c r="AT8" s="253">
        <v>261</v>
      </c>
      <c r="AU8" s="235">
        <v>109</v>
      </c>
      <c r="AX8" s="2" t="s">
        <v>310</v>
      </c>
      <c r="AY8" s="639">
        <v>369</v>
      </c>
      <c r="AZ8" s="5">
        <f>BA8/AY8</f>
        <v>1.7</v>
      </c>
      <c r="BA8" s="251">
        <v>627.29999999999995</v>
      </c>
    </row>
    <row r="9" spans="2:57" ht="15" customHeight="1" thickBot="1" x14ac:dyDescent="0.25">
      <c r="B9" s="62"/>
      <c r="C9" s="236"/>
      <c r="D9" s="44"/>
      <c r="F9" s="68" t="s">
        <v>66</v>
      </c>
      <c r="G9" s="5" t="s">
        <v>7</v>
      </c>
      <c r="H9" s="93">
        <v>426</v>
      </c>
      <c r="I9" s="60" t="str">
        <f>IF(H9&gt;8000,"8000 ft max","")</f>
        <v/>
      </c>
      <c r="J9" s="5" t="s">
        <v>96</v>
      </c>
      <c r="K9" s="916">
        <f>IF(H11&gt;1013,H9-(H11-1013)*28,H9+(1013-H11)*28)</f>
        <v>426</v>
      </c>
      <c r="L9" s="917"/>
      <c r="M9" s="34"/>
      <c r="N9" s="4">
        <v>3</v>
      </c>
      <c r="O9" s="242">
        <v>15</v>
      </c>
      <c r="P9" s="245">
        <f>O9+30</f>
        <v>45</v>
      </c>
      <c r="Q9" s="240">
        <v>159</v>
      </c>
      <c r="R9" s="242">
        <v>11</v>
      </c>
      <c r="S9" s="245">
        <f>R9+30</f>
        <v>41</v>
      </c>
      <c r="T9" s="240">
        <v>187</v>
      </c>
      <c r="U9" s="242">
        <v>7</v>
      </c>
      <c r="V9" s="245">
        <f>U9+30</f>
        <v>37</v>
      </c>
      <c r="W9" s="240">
        <v>232</v>
      </c>
      <c r="X9" s="242">
        <v>3</v>
      </c>
      <c r="Y9" s="245">
        <f>X9+30</f>
        <v>33</v>
      </c>
      <c r="Z9" s="240">
        <v>285</v>
      </c>
      <c r="AA9" s="163"/>
      <c r="AB9" s="163"/>
      <c r="AC9" s="163"/>
      <c r="AD9" s="163"/>
      <c r="AE9" s="1">
        <v>0</v>
      </c>
      <c r="AF9" s="242">
        <v>15</v>
      </c>
      <c r="AG9" s="245">
        <f>AF9+30</f>
        <v>45</v>
      </c>
      <c r="AH9" s="253">
        <v>243</v>
      </c>
      <c r="AI9" s="258">
        <v>95</v>
      </c>
      <c r="AJ9" s="242">
        <v>11</v>
      </c>
      <c r="AK9" s="245">
        <f>AJ9+30</f>
        <v>41</v>
      </c>
      <c r="AL9" s="253">
        <v>250</v>
      </c>
      <c r="AM9" s="258">
        <v>101</v>
      </c>
      <c r="AN9" s="242">
        <v>7</v>
      </c>
      <c r="AO9" s="245">
        <f>AN9+30</f>
        <v>37</v>
      </c>
      <c r="AP9" s="253">
        <v>258</v>
      </c>
      <c r="AQ9" s="258">
        <v>107</v>
      </c>
      <c r="AR9" s="242">
        <v>3</v>
      </c>
      <c r="AS9" s="245">
        <f>AR9+30</f>
        <v>33</v>
      </c>
      <c r="AT9" s="253">
        <v>266</v>
      </c>
      <c r="AU9" s="235">
        <v>113</v>
      </c>
    </row>
    <row r="10" spans="2:57" ht="15" customHeight="1" thickBot="1" x14ac:dyDescent="0.25">
      <c r="B10" s="62" t="s">
        <v>86</v>
      </c>
      <c r="C10" s="105">
        <v>15</v>
      </c>
      <c r="D10" s="44" t="s">
        <v>65</v>
      </c>
      <c r="F10" s="68" t="s">
        <v>67</v>
      </c>
      <c r="G10" s="5" t="s">
        <v>0</v>
      </c>
      <c r="H10" s="93">
        <v>32</v>
      </c>
      <c r="I10" s="60" t="str">
        <f>IF(H10&gt;35,"35° max","")</f>
        <v/>
      </c>
      <c r="M10" s="34"/>
      <c r="N10" s="4">
        <v>4</v>
      </c>
      <c r="O10" s="242">
        <v>25</v>
      </c>
      <c r="P10" s="245">
        <f>O10+30</f>
        <v>55</v>
      </c>
      <c r="Q10" s="240">
        <v>167</v>
      </c>
      <c r="R10" s="242">
        <v>21</v>
      </c>
      <c r="S10" s="245">
        <f>R10+30</f>
        <v>51</v>
      </c>
      <c r="T10" s="240">
        <v>200</v>
      </c>
      <c r="U10" s="242">
        <v>17</v>
      </c>
      <c r="V10" s="245">
        <f>U10+30</f>
        <v>47</v>
      </c>
      <c r="W10" s="240">
        <v>250</v>
      </c>
      <c r="X10" s="242">
        <v>13</v>
      </c>
      <c r="Y10" s="245">
        <f>X10+30</f>
        <v>43</v>
      </c>
      <c r="Z10" s="240">
        <v>303</v>
      </c>
      <c r="AA10" s="163"/>
      <c r="AB10" s="163"/>
      <c r="AC10" s="163"/>
      <c r="AD10" s="163"/>
      <c r="AE10" s="1">
        <v>10</v>
      </c>
      <c r="AF10" s="242">
        <v>25</v>
      </c>
      <c r="AG10" s="245">
        <f>AF10+30</f>
        <v>55</v>
      </c>
      <c r="AH10" s="253">
        <v>247</v>
      </c>
      <c r="AI10" s="258">
        <v>98</v>
      </c>
      <c r="AJ10" s="242">
        <v>21</v>
      </c>
      <c r="AK10" s="245">
        <f>AJ10+30</f>
        <v>51</v>
      </c>
      <c r="AL10" s="253">
        <v>255</v>
      </c>
      <c r="AM10" s="258">
        <v>104</v>
      </c>
      <c r="AN10" s="242">
        <v>17</v>
      </c>
      <c r="AO10" s="245">
        <f>AN10+30</f>
        <v>47</v>
      </c>
      <c r="AP10" s="253">
        <v>263</v>
      </c>
      <c r="AQ10" s="258">
        <v>111</v>
      </c>
      <c r="AR10" s="242">
        <v>13</v>
      </c>
      <c r="AS10" s="245">
        <f>AR10+30</f>
        <v>43</v>
      </c>
      <c r="AT10" s="253">
        <v>271</v>
      </c>
      <c r="AU10" s="235">
        <v>118</v>
      </c>
      <c r="AX10" s="2" t="s">
        <v>309</v>
      </c>
      <c r="AY10" s="50">
        <f>AY2+AY5+AY6+AY8</f>
        <v>579.9</v>
      </c>
      <c r="AZ10" s="46"/>
      <c r="BA10" s="638">
        <f>SUM(BA2:BA8)</f>
        <v>1024.8</v>
      </c>
    </row>
    <row r="11" spans="2:57" ht="15" customHeight="1" thickTop="1" thickBot="1" x14ac:dyDescent="0.25">
      <c r="B11" s="62"/>
      <c r="C11" s="619" t="str">
        <f>IF(C10&gt;20,"Max 20 Kg","")</f>
        <v/>
      </c>
      <c r="D11" s="44"/>
      <c r="F11" s="68" t="s">
        <v>68</v>
      </c>
      <c r="G11" s="5" t="s">
        <v>8</v>
      </c>
      <c r="H11" s="93">
        <v>1013</v>
      </c>
      <c r="J11" s="43" t="s">
        <v>33</v>
      </c>
      <c r="K11" s="65" t="s">
        <v>57</v>
      </c>
      <c r="M11" s="34"/>
      <c r="N11" s="4">
        <v>5</v>
      </c>
      <c r="O11" s="243">
        <v>35</v>
      </c>
      <c r="P11" s="246">
        <f>O11+30</f>
        <v>65</v>
      </c>
      <c r="Q11" s="241">
        <v>174</v>
      </c>
      <c r="R11" s="243">
        <v>31</v>
      </c>
      <c r="S11" s="246">
        <f>R11+30</f>
        <v>61</v>
      </c>
      <c r="T11" s="241">
        <v>212</v>
      </c>
      <c r="U11" s="243">
        <v>27</v>
      </c>
      <c r="V11" s="246">
        <f>U11+30</f>
        <v>57</v>
      </c>
      <c r="W11" s="241">
        <v>262</v>
      </c>
      <c r="X11" s="243">
        <v>23</v>
      </c>
      <c r="Y11" s="246">
        <f>X11+30</f>
        <v>53</v>
      </c>
      <c r="Z11" s="241">
        <v>322</v>
      </c>
      <c r="AA11" s="163"/>
      <c r="AB11" s="163"/>
      <c r="AC11" s="163"/>
      <c r="AD11" s="163"/>
      <c r="AE11" s="1">
        <v>20</v>
      </c>
      <c r="AF11" s="243">
        <v>35</v>
      </c>
      <c r="AG11" s="246">
        <f>AF11+30</f>
        <v>65</v>
      </c>
      <c r="AH11" s="255">
        <v>251</v>
      </c>
      <c r="AI11" s="259">
        <v>101</v>
      </c>
      <c r="AJ11" s="243">
        <v>31</v>
      </c>
      <c r="AK11" s="246">
        <f>AJ11+30</f>
        <v>61</v>
      </c>
      <c r="AL11" s="255">
        <v>259</v>
      </c>
      <c r="AM11" s="259">
        <v>108</v>
      </c>
      <c r="AN11" s="243">
        <v>27</v>
      </c>
      <c r="AO11" s="246">
        <f>AN11+30</f>
        <v>57</v>
      </c>
      <c r="AP11" s="255">
        <v>268</v>
      </c>
      <c r="AQ11" s="259">
        <v>114</v>
      </c>
      <c r="AR11" s="243">
        <v>23</v>
      </c>
      <c r="AS11" s="246">
        <f>AR11+30</f>
        <v>53</v>
      </c>
      <c r="AT11" s="255">
        <v>277</v>
      </c>
      <c r="AU11" s="189">
        <v>122</v>
      </c>
    </row>
    <row r="12" spans="2:57" ht="15" customHeight="1" thickBot="1" x14ac:dyDescent="0.25">
      <c r="B12" s="62"/>
      <c r="C12" s="58" t="s">
        <v>87</v>
      </c>
      <c r="D12" s="44"/>
      <c r="F12" s="68"/>
      <c r="G12" s="5" t="s">
        <v>16</v>
      </c>
      <c r="H12" s="95" t="s">
        <v>57</v>
      </c>
      <c r="I12" s="79" t="str">
        <f>IF(H12&lt;&gt;"d",IF(H12&lt;&gt;"h","choisissez d ou h",""),"")</f>
        <v/>
      </c>
      <c r="J12" s="43" t="s">
        <v>32</v>
      </c>
      <c r="K12" s="66" t="s">
        <v>64</v>
      </c>
      <c r="M12" s="34"/>
      <c r="N12" s="4"/>
      <c r="O12"/>
      <c r="P12"/>
      <c r="Q12" s="21"/>
      <c r="R12" s="21"/>
      <c r="S12" s="21"/>
      <c r="T12" s="21"/>
      <c r="U12" s="21"/>
      <c r="V12" s="21"/>
      <c r="W12" s="16"/>
      <c r="X12" s="5"/>
      <c r="Y12" s="16"/>
      <c r="Z12" s="16"/>
      <c r="AA12" s="16"/>
      <c r="AB12" s="16"/>
      <c r="AC12" s="16"/>
      <c r="AD12" s="16"/>
      <c r="AX12" s="2" t="s">
        <v>287</v>
      </c>
      <c r="AY12" s="941" t="str">
        <f>IF(AY10&gt;580,AZ14,IF(AY10&lt;400,AZ14,IF(AY16&lt;26,AZ14,IF(AY16&gt;32.5,AZ14,AZ15))))</f>
        <v>"Centrage correct"</v>
      </c>
      <c r="AZ12" s="942"/>
      <c r="BA12" s="943"/>
      <c r="BC12" s="1" t="s">
        <v>315</v>
      </c>
      <c r="BD12" s="365">
        <f>14.77272727+(BA10*0.5681818182)</f>
        <v>597.04545456135997</v>
      </c>
    </row>
    <row r="13" spans="2:57" ht="15" customHeight="1" thickTop="1" thickBot="1" x14ac:dyDescent="0.25">
      <c r="B13" s="62" t="s">
        <v>90</v>
      </c>
      <c r="C13" s="92">
        <v>25</v>
      </c>
      <c r="D13" s="44" t="s">
        <v>88</v>
      </c>
      <c r="F13" s="68" t="s">
        <v>69</v>
      </c>
      <c r="G13" s="5" t="s">
        <v>22</v>
      </c>
      <c r="H13" s="108">
        <f>K7</f>
        <v>-4.3301270189221954</v>
      </c>
      <c r="M13" s="34"/>
      <c r="N13" s="4"/>
      <c r="O13" s="651" t="s">
        <v>165</v>
      </c>
      <c r="P13" s="402">
        <f>H10+30</f>
        <v>62</v>
      </c>
      <c r="Q13" s="376" t="s">
        <v>172</v>
      </c>
      <c r="R13" s="377" t="s">
        <v>173</v>
      </c>
      <c r="S13" s="660" t="s">
        <v>318</v>
      </c>
      <c r="U13" s="2"/>
      <c r="W13" s="5" t="s">
        <v>171</v>
      </c>
      <c r="X13" s="1"/>
      <c r="Z13" s="2"/>
      <c r="AA13" s="2"/>
      <c r="AB13" s="2"/>
      <c r="AC13" s="2"/>
      <c r="AD13" s="2"/>
      <c r="AE13" s="268" t="s">
        <v>179</v>
      </c>
      <c r="AF13" s="247" t="s">
        <v>162</v>
      </c>
      <c r="AG13" s="250">
        <v>225</v>
      </c>
      <c r="AH13" s="264"/>
      <c r="AI13" s="265"/>
      <c r="AJ13" s="247" t="s">
        <v>162</v>
      </c>
      <c r="AK13" s="250">
        <v>231.55</v>
      </c>
      <c r="AL13" s="264"/>
      <c r="AM13" s="265"/>
      <c r="AN13" s="247" t="s">
        <v>162</v>
      </c>
      <c r="AO13" s="250">
        <v>239.5</v>
      </c>
      <c r="AP13" s="264"/>
      <c r="AQ13" s="265"/>
      <c r="AR13" s="247" t="s">
        <v>162</v>
      </c>
      <c r="AS13" s="250">
        <v>249.17500000000001</v>
      </c>
      <c r="AT13" s="264"/>
      <c r="AU13" s="265"/>
    </row>
    <row r="14" spans="2:57" ht="15" customHeight="1" thickBot="1" x14ac:dyDescent="0.25">
      <c r="B14" s="62" t="s">
        <v>91</v>
      </c>
      <c r="C14" s="94">
        <v>25</v>
      </c>
      <c r="D14" s="44" t="s">
        <v>88</v>
      </c>
      <c r="F14" s="33"/>
      <c r="M14" s="34"/>
      <c r="N14" s="4"/>
      <c r="O14"/>
      <c r="P14" s="648" t="s">
        <v>317</v>
      </c>
      <c r="Q14" s="647">
        <v>116</v>
      </c>
      <c r="R14" s="658">
        <v>0.93333333299999999</v>
      </c>
      <c r="S14" s="654">
        <f>Q14+R14*$P$13</f>
        <v>173.866666646</v>
      </c>
      <c r="U14" s="2"/>
      <c r="V14" s="655" t="s">
        <v>181</v>
      </c>
      <c r="W14" s="656">
        <f>K9</f>
        <v>426</v>
      </c>
      <c r="X14" s="43" t="s">
        <v>323</v>
      </c>
      <c r="Y14" s="3">
        <f>((T21-T15)/2000)*W14</f>
        <v>8.7968999999999955</v>
      </c>
      <c r="Z14" s="2"/>
      <c r="AA14" s="2"/>
      <c r="AB14" s="2"/>
      <c r="AC14" s="2"/>
      <c r="AD14" s="2"/>
      <c r="AE14" s="5" t="s">
        <v>12</v>
      </c>
      <c r="AF14" s="278" t="s">
        <v>163</v>
      </c>
      <c r="AG14" s="2">
        <v>0.4</v>
      </c>
      <c r="AI14" s="266"/>
      <c r="AJ14" s="278" t="s">
        <v>163</v>
      </c>
      <c r="AK14" s="2">
        <v>0.45</v>
      </c>
      <c r="AM14" s="266"/>
      <c r="AN14" s="278" t="s">
        <v>163</v>
      </c>
      <c r="AO14" s="2">
        <v>0.5</v>
      </c>
      <c r="AQ14" s="266"/>
      <c r="AR14" s="278" t="s">
        <v>163</v>
      </c>
      <c r="AS14" s="2">
        <v>0.52500000000000002</v>
      </c>
      <c r="AU14" s="266"/>
      <c r="AZ14" s="641" t="s">
        <v>313</v>
      </c>
      <c r="BC14" s="1" t="s">
        <v>311</v>
      </c>
      <c r="BD14" s="365">
        <f>(0.5681818182*BA10)-7.954545455</f>
        <v>574.31818183635994</v>
      </c>
    </row>
    <row r="15" spans="2:57" ht="24.95" customHeight="1" thickBot="1" x14ac:dyDescent="0.25">
      <c r="B15" s="62"/>
      <c r="C15" s="619" t="str">
        <f>IF(C13&gt;50,"max res Gau 50 litres",IF(C14&gt;50,"max res Droit 50 li",""))</f>
        <v/>
      </c>
      <c r="D15" s="59"/>
      <c r="F15" s="918" t="s">
        <v>332</v>
      </c>
      <c r="G15" s="919"/>
      <c r="H15" s="919"/>
      <c r="I15" s="919"/>
      <c r="J15" s="919"/>
      <c r="K15" s="919"/>
      <c r="L15" s="919"/>
      <c r="M15" s="920"/>
      <c r="N15" s="4"/>
      <c r="O15" s="163" t="s">
        <v>156</v>
      </c>
      <c r="P15" s="649" t="s">
        <v>319</v>
      </c>
      <c r="Q15" s="652">
        <v>114</v>
      </c>
      <c r="R15" s="644">
        <v>1</v>
      </c>
      <c r="S15" s="661">
        <f>Q15+R15*$P$13</f>
        <v>176</v>
      </c>
      <c r="T15" s="657">
        <f>IF(P13&lt;30,S14,IF(P13&lt;45,S15,IF(P13&lt;55,S16,IF(P13&lt;65,S17,"Tempé&gt;35"))))</f>
        <v>171.9</v>
      </c>
      <c r="U15" s="2"/>
      <c r="W15" s="655">
        <f>IF(W14&lt;2000,T15+Y14,IF(W14&lt;4000,T21+Y16,IF(W14&lt;6000,T27+Y18,"Zp &gt; 6000")))</f>
        <v>180.6969</v>
      </c>
      <c r="X15" s="1"/>
      <c r="Z15" s="2"/>
      <c r="AA15" s="2"/>
      <c r="AB15" s="2"/>
      <c r="AC15" s="2"/>
      <c r="AD15" s="2"/>
      <c r="AF15" s="249"/>
      <c r="AG15" s="248" t="s">
        <v>164</v>
      </c>
      <c r="AH15" s="248"/>
      <c r="AI15" s="267"/>
      <c r="AJ15" s="249"/>
      <c r="AK15" s="248" t="s">
        <v>164</v>
      </c>
      <c r="AL15" s="248"/>
      <c r="AM15" s="267"/>
      <c r="AN15" s="249"/>
      <c r="AO15" s="248" t="s">
        <v>164</v>
      </c>
      <c r="AP15" s="248"/>
      <c r="AQ15" s="267"/>
      <c r="AR15" s="249"/>
      <c r="AS15" s="248" t="s">
        <v>164</v>
      </c>
      <c r="AT15" s="248"/>
      <c r="AU15" s="267"/>
      <c r="AZ15" s="2" t="s">
        <v>316</v>
      </c>
    </row>
    <row r="16" spans="2:57" ht="15" customHeight="1" thickBot="1" x14ac:dyDescent="0.25">
      <c r="B16" s="62"/>
      <c r="C16" s="87"/>
      <c r="D16" s="59" t="str">
        <f>IF(C16&gt;50,"max 50 Li","")</f>
        <v/>
      </c>
      <c r="F16" s="33"/>
      <c r="H16" s="77" t="s">
        <v>3</v>
      </c>
      <c r="I16" s="78" t="s">
        <v>97</v>
      </c>
      <c r="M16" s="34"/>
      <c r="N16" s="4"/>
      <c r="O16"/>
      <c r="P16" s="649" t="s">
        <v>320</v>
      </c>
      <c r="Q16" s="652">
        <v>123</v>
      </c>
      <c r="R16" s="644">
        <v>0.8</v>
      </c>
      <c r="S16" s="661">
        <f>Q16+R16*$P$13</f>
        <v>172.6</v>
      </c>
      <c r="U16"/>
      <c r="X16" s="43" t="s">
        <v>324</v>
      </c>
      <c r="Y16" s="3">
        <f>((T27-T21)/2000)*(W14-2000)</f>
        <v>-43.127600000000008</v>
      </c>
      <c r="AF16" s="5"/>
      <c r="AG16" s="5"/>
      <c r="AH16" s="5"/>
      <c r="AI16" s="5"/>
      <c r="AJ16" s="5"/>
      <c r="AY16" s="951">
        <f>32.5-6.5*(AY10-BD14)/(BD12-BD14)</f>
        <v>30.903600005039312</v>
      </c>
      <c r="AZ16" s="952"/>
      <c r="BA16" s="851"/>
      <c r="BC16"/>
      <c r="BD16"/>
      <c r="BE16"/>
    </row>
    <row r="17" spans="2:60" ht="24.95" customHeight="1" thickBot="1" x14ac:dyDescent="0.25">
      <c r="B17" s="63" t="s">
        <v>92</v>
      </c>
      <c r="C17" s="1" t="str">
        <f>IF(C18&gt;100,"max 100 litres","")</f>
        <v/>
      </c>
      <c r="D17" s="44"/>
      <c r="F17" s="33"/>
      <c r="G17" s="67" t="s">
        <v>98</v>
      </c>
      <c r="H17" s="81">
        <f>Z25</f>
        <v>172.11865571898167</v>
      </c>
      <c r="I17" s="82">
        <f>Q157</f>
        <v>343.6972066342974</v>
      </c>
      <c r="J17" s="69" t="s">
        <v>48</v>
      </c>
      <c r="M17" s="34"/>
      <c r="N17" s="4"/>
      <c r="O17"/>
      <c r="P17" s="650" t="s">
        <v>321</v>
      </c>
      <c r="Q17" s="653">
        <v>128.5</v>
      </c>
      <c r="R17" s="643">
        <v>0.7</v>
      </c>
      <c r="S17" s="662">
        <f>Q17+R17*$P$13</f>
        <v>171.9</v>
      </c>
      <c r="U17"/>
      <c r="X17" s="1"/>
      <c r="AF17" s="279" t="s">
        <v>162</v>
      </c>
      <c r="AG17" s="283">
        <v>79.875</v>
      </c>
      <c r="AH17" s="269"/>
      <c r="AI17" s="272"/>
      <c r="AJ17" s="280" t="s">
        <v>162</v>
      </c>
      <c r="AK17" s="285">
        <v>86.65</v>
      </c>
      <c r="AL17" s="269"/>
      <c r="AM17" s="275"/>
      <c r="AN17" s="279" t="s">
        <v>162</v>
      </c>
      <c r="AO17" s="283">
        <v>92.625</v>
      </c>
      <c r="AP17" s="269"/>
      <c r="AQ17" s="272"/>
      <c r="AR17" s="280" t="s">
        <v>162</v>
      </c>
      <c r="AS17" s="285">
        <v>99.474999999999994</v>
      </c>
      <c r="AT17" s="269"/>
      <c r="AU17" s="275"/>
      <c r="BC17" s="623"/>
      <c r="BD17" s="621"/>
      <c r="BE17" s="637"/>
    </row>
    <row r="18" spans="2:60" ht="15" customHeight="1" thickBot="1" x14ac:dyDescent="0.25">
      <c r="B18" s="64" t="s">
        <v>87</v>
      </c>
      <c r="C18" s="57">
        <f>SUM(C13:C14)</f>
        <v>50</v>
      </c>
      <c r="D18" s="44" t="s">
        <v>88</v>
      </c>
      <c r="F18" s="33"/>
      <c r="H18" s="99" t="s">
        <v>151</v>
      </c>
      <c r="M18" s="34"/>
      <c r="N18" s="4"/>
      <c r="O18"/>
      <c r="P18"/>
      <c r="Q18"/>
      <c r="T18" s="1" t="s">
        <v>4</v>
      </c>
      <c r="U18"/>
      <c r="X18" s="43" t="s">
        <v>325</v>
      </c>
      <c r="Y18" s="3">
        <f>((T33-T27)/2000)*(W14-4000)</f>
        <v>-127.05570000000004</v>
      </c>
      <c r="AE18" s="268" t="s">
        <v>178</v>
      </c>
      <c r="AF18" s="281" t="s">
        <v>163</v>
      </c>
      <c r="AG18" s="284">
        <v>0.32500000000000001</v>
      </c>
      <c r="AH18" s="270"/>
      <c r="AI18" s="273"/>
      <c r="AJ18" s="282" t="s">
        <v>163</v>
      </c>
      <c r="AK18" s="286">
        <v>0.35</v>
      </c>
      <c r="AL18" s="270"/>
      <c r="AM18" s="276"/>
      <c r="AN18" s="281" t="s">
        <v>163</v>
      </c>
      <c r="AO18" s="284">
        <v>0.375</v>
      </c>
      <c r="AP18" s="270"/>
      <c r="AQ18" s="273"/>
      <c r="AR18" s="282" t="s">
        <v>163</v>
      </c>
      <c r="AS18" s="286">
        <v>0.42499999999999999</v>
      </c>
      <c r="AT18" s="270"/>
      <c r="AU18" s="276"/>
    </row>
    <row r="19" spans="2:60" ht="24.95" customHeight="1" thickBot="1" x14ac:dyDescent="0.25">
      <c r="B19" s="63" t="s">
        <v>92</v>
      </c>
      <c r="C19" s="79" t="str">
        <f>IF(C18&gt;100,"max 100 litres","")</f>
        <v/>
      </c>
      <c r="D19" s="51"/>
      <c r="F19" s="918" t="s">
        <v>333</v>
      </c>
      <c r="G19" s="919"/>
      <c r="H19" s="919"/>
      <c r="I19" s="919"/>
      <c r="J19" s="919"/>
      <c r="K19" s="919"/>
      <c r="L19" s="919"/>
      <c r="M19" s="920"/>
      <c r="N19" s="4"/>
      <c r="O19"/>
      <c r="P19"/>
      <c r="Q19" s="376" t="s">
        <v>172</v>
      </c>
      <c r="R19" s="377" t="s">
        <v>173</v>
      </c>
      <c r="S19" s="660" t="s">
        <v>318</v>
      </c>
      <c r="U19" s="2"/>
      <c r="V19" s="2"/>
      <c r="W19" s="2"/>
      <c r="Y19" s="2" t="s">
        <v>4</v>
      </c>
      <c r="Z19" s="2"/>
      <c r="AA19" s="2"/>
      <c r="AB19" s="2"/>
      <c r="AC19" s="2"/>
      <c r="AD19" s="2"/>
      <c r="AE19" s="16"/>
      <c r="AF19" s="953" t="s">
        <v>164</v>
      </c>
      <c r="AG19" s="954"/>
      <c r="AH19" s="271" t="s">
        <v>4</v>
      </c>
      <c r="AI19" s="274"/>
      <c r="AJ19" s="953" t="s">
        <v>164</v>
      </c>
      <c r="AK19" s="954"/>
      <c r="AL19" s="271" t="s">
        <v>4</v>
      </c>
      <c r="AM19" s="277"/>
      <c r="AN19" s="953" t="s">
        <v>164</v>
      </c>
      <c r="AO19" s="954"/>
      <c r="AP19" s="271" t="s">
        <v>4</v>
      </c>
      <c r="AQ19" s="274"/>
      <c r="AR19" s="953" t="s">
        <v>164</v>
      </c>
      <c r="AS19" s="954"/>
      <c r="AT19" s="271" t="s">
        <v>4</v>
      </c>
      <c r="AU19" s="277"/>
      <c r="AX19" s="2" t="s">
        <v>314</v>
      </c>
      <c r="AY19" s="17">
        <f>IF(BA10&lt;(1709.538462-(1.115384615*AY10)),1,BA19)</f>
        <v>1</v>
      </c>
      <c r="BC19" s="623"/>
      <c r="BD19" s="621"/>
      <c r="BE19" s="2"/>
    </row>
    <row r="20" spans="2:60" ht="15" customHeight="1" thickBot="1" x14ac:dyDescent="0.25">
      <c r="B20" s="64" t="s">
        <v>87</v>
      </c>
      <c r="C20" s="50">
        <f>C18*0.718</f>
        <v>35.9</v>
      </c>
      <c r="D20" s="55" t="s">
        <v>65</v>
      </c>
      <c r="F20" s="33"/>
      <c r="H20" s="71" t="s">
        <v>3</v>
      </c>
      <c r="I20" s="74" t="s">
        <v>99</v>
      </c>
      <c r="M20" s="34"/>
      <c r="N20" s="4"/>
      <c r="O20"/>
      <c r="P20" s="648" t="s">
        <v>317</v>
      </c>
      <c r="Q20" s="647">
        <v>147.7333333</v>
      </c>
      <c r="R20" s="658">
        <v>0.93333333330000001</v>
      </c>
      <c r="S20" s="654">
        <f>Q20+R20*$P$13</f>
        <v>205.59999996459999</v>
      </c>
      <c r="U20" s="2"/>
      <c r="V20" s="618" t="s">
        <v>326</v>
      </c>
      <c r="W20" s="659">
        <f>C22</f>
        <v>578.9</v>
      </c>
      <c r="X20" s="43" t="s">
        <v>327</v>
      </c>
      <c r="Y20" s="17">
        <f>(W15-W49)/50</f>
        <v>0.71632599999999969</v>
      </c>
      <c r="Z20" s="2"/>
      <c r="AA20" s="2"/>
      <c r="AB20" s="2"/>
      <c r="AC20" s="2"/>
      <c r="AD20" s="2"/>
      <c r="AE20" s="16"/>
    </row>
    <row r="21" spans="2:60" ht="15" customHeight="1" thickBot="1" x14ac:dyDescent="0.25">
      <c r="B21" s="62"/>
      <c r="D21" s="51"/>
      <c r="F21" s="33"/>
      <c r="H21" s="72" t="s">
        <v>100</v>
      </c>
      <c r="I21" s="75" t="s">
        <v>101</v>
      </c>
      <c r="M21" s="34"/>
      <c r="N21" s="4"/>
      <c r="O21" s="163" t="s">
        <v>322</v>
      </c>
      <c r="P21" s="649" t="s">
        <v>319</v>
      </c>
      <c r="Q21" s="652">
        <v>146</v>
      </c>
      <c r="R21" s="644">
        <v>1</v>
      </c>
      <c r="S21" s="661">
        <f>Q21+R21*$P$13</f>
        <v>208</v>
      </c>
      <c r="T21" s="657">
        <f>IF(P13&lt;30,S20,IF(P13&lt;45,S21,IF(P13&lt;55,S22,IF(P13&lt;65,S23,"Tempé&gt;35"))))</f>
        <v>213.2</v>
      </c>
      <c r="U21" s="2"/>
      <c r="V21" s="2"/>
      <c r="W21" s="655">
        <f>IF(W20&gt;530,W49+(Y20*(W20-530)),IF(W20&lt;530,W49-(530-W20)*Y22,""))</f>
        <v>179.90894139999997</v>
      </c>
      <c r="Y21" s="2"/>
      <c r="Z21" s="2"/>
      <c r="AA21" s="2"/>
      <c r="AB21" s="2"/>
      <c r="AC21" s="2"/>
      <c r="AD21" s="2"/>
      <c r="AE21" s="16"/>
    </row>
    <row r="22" spans="2:60" ht="15" customHeight="1" thickBot="1" x14ac:dyDescent="0.25">
      <c r="B22" s="64" t="s">
        <v>93</v>
      </c>
      <c r="C22" s="50">
        <f>C5+SUM(C7:C8)+C20+C10</f>
        <v>578.9</v>
      </c>
      <c r="D22" s="55" t="s">
        <v>65</v>
      </c>
      <c r="F22" s="33"/>
      <c r="H22" s="73" t="s">
        <v>102</v>
      </c>
      <c r="I22" s="76" t="s">
        <v>103</v>
      </c>
      <c r="M22" s="34"/>
      <c r="N22" s="4"/>
      <c r="O22"/>
      <c r="P22" s="649" t="s">
        <v>320</v>
      </c>
      <c r="Q22" s="652">
        <v>133.69999999999999</v>
      </c>
      <c r="R22" s="644">
        <v>1.3</v>
      </c>
      <c r="S22" s="661">
        <f>Q22+R22*$P$13</f>
        <v>214.3</v>
      </c>
      <c r="U22" s="2"/>
      <c r="V22" s="2"/>
      <c r="W22" s="2"/>
      <c r="X22" s="43" t="s">
        <v>328</v>
      </c>
      <c r="Y22" s="17">
        <f>(W49-W83)/50</f>
        <v>0.59818800000000039</v>
      </c>
      <c r="Z22" s="2"/>
      <c r="AA22" s="2"/>
      <c r="AB22" s="2"/>
      <c r="AC22" s="2"/>
      <c r="AD22" s="2"/>
      <c r="AE22" s="16"/>
      <c r="AL22" s="1" t="s">
        <v>4</v>
      </c>
      <c r="AX22"/>
      <c r="AY22"/>
      <c r="AZ22"/>
      <c r="BA22"/>
      <c r="BB22"/>
      <c r="BC22"/>
      <c r="BD22"/>
      <c r="BE22"/>
      <c r="BF22"/>
    </row>
    <row r="23" spans="2:60" ht="24.95" customHeight="1" thickBot="1" x14ac:dyDescent="0.25">
      <c r="B23" s="33"/>
      <c r="C23" s="60" t="str">
        <f>IF(C22&gt;580,"max 600 Kg","")</f>
        <v/>
      </c>
      <c r="D23" s="34"/>
      <c r="F23" s="912" t="s">
        <v>174</v>
      </c>
      <c r="G23" s="913"/>
      <c r="H23" s="81">
        <f>AK37</f>
        <v>92.982240108983589</v>
      </c>
      <c r="I23" s="82">
        <f>AF37</f>
        <v>240.94978911092193</v>
      </c>
      <c r="J23" s="69" t="s">
        <v>48</v>
      </c>
      <c r="M23" s="34"/>
      <c r="O23"/>
      <c r="P23" s="650" t="s">
        <v>321</v>
      </c>
      <c r="Q23" s="653">
        <v>138.80000000000001</v>
      </c>
      <c r="R23" s="643">
        <v>1.2</v>
      </c>
      <c r="S23" s="662">
        <f>Q23+R23*$P$13</f>
        <v>213.2</v>
      </c>
      <c r="U23" s="2"/>
      <c r="V23" s="2"/>
      <c r="W23" s="2"/>
      <c r="Y23" s="2"/>
      <c r="Z23" s="2"/>
      <c r="AA23" s="2"/>
      <c r="AB23" s="2"/>
      <c r="AC23" s="2"/>
      <c r="AD23" s="2"/>
      <c r="AE23" s="287" t="s">
        <v>12</v>
      </c>
      <c r="AF23" s="298" t="s">
        <v>165</v>
      </c>
      <c r="AJ23" s="292" t="s">
        <v>178</v>
      </c>
      <c r="AK23" s="298" t="s">
        <v>165</v>
      </c>
      <c r="AX23"/>
      <c r="AY23"/>
      <c r="AZ23"/>
      <c r="BA23"/>
      <c r="BB23"/>
      <c r="BC23"/>
      <c r="BD23"/>
      <c r="BE23"/>
      <c r="BF23"/>
    </row>
    <row r="24" spans="2:60" ht="15" customHeight="1" thickBot="1" x14ac:dyDescent="0.25">
      <c r="B24" s="624" t="s">
        <v>287</v>
      </c>
      <c r="C24" s="88">
        <f>AY16</f>
        <v>30.903600005039312</v>
      </c>
      <c r="D24" s="642" t="s">
        <v>312</v>
      </c>
      <c r="F24" s="33"/>
      <c r="M24" s="34"/>
      <c r="O24"/>
      <c r="P24"/>
      <c r="Q24"/>
      <c r="U24" s="2"/>
      <c r="V24" s="665" t="s">
        <v>180</v>
      </c>
      <c r="W24" s="663">
        <f>K7</f>
        <v>-4.3301270189221954</v>
      </c>
      <c r="Y24" s="251" t="s">
        <v>286</v>
      </c>
      <c r="Z24" s="667" t="str">
        <f>H12</f>
        <v>d</v>
      </c>
      <c r="AA24" s="2"/>
      <c r="AB24" s="2"/>
      <c r="AC24" s="2"/>
      <c r="AD24" s="2"/>
      <c r="AE24" s="16"/>
      <c r="AX24"/>
      <c r="AY24"/>
      <c r="AZ24"/>
      <c r="BA24"/>
      <c r="BB24"/>
      <c r="BC24"/>
      <c r="BD24"/>
      <c r="BE24"/>
      <c r="BF24"/>
    </row>
    <row r="25" spans="2:60" ht="24.95" customHeight="1" thickBot="1" x14ac:dyDescent="0.25">
      <c r="B25" s="685"/>
      <c r="C25" s="692" t="str">
        <f>AY12</f>
        <v>"Centrage correct"</v>
      </c>
      <c r="D25" s="686"/>
      <c r="F25" s="912" t="s">
        <v>175</v>
      </c>
      <c r="G25" s="913"/>
      <c r="H25" s="81">
        <f>AK41</f>
        <v>102.28046411988194</v>
      </c>
      <c r="I25" s="82">
        <f>AF41</f>
        <v>250.24801312182029</v>
      </c>
      <c r="J25" s="69" t="s">
        <v>48</v>
      </c>
      <c r="M25" s="34"/>
      <c r="O25"/>
      <c r="P25"/>
      <c r="Q25" s="376" t="s">
        <v>172</v>
      </c>
      <c r="R25" s="377" t="s">
        <v>173</v>
      </c>
      <c r="S25" s="660" t="s">
        <v>318</v>
      </c>
      <c r="U25" s="2"/>
      <c r="V25" s="2"/>
      <c r="W25" s="655">
        <f>IF(W24&lt;0,W21+(W24*W21)/100,W21+(W21*W24)/50)</f>
        <v>172.11865571898167</v>
      </c>
      <c r="Y25" s="2"/>
      <c r="Z25" s="668">
        <f>IF(Z24="h",W25-(W25*6/100),W25)</f>
        <v>172.11865571898167</v>
      </c>
      <c r="AA25" s="2"/>
      <c r="AB25" s="2"/>
      <c r="AC25" s="2"/>
      <c r="AD25" s="2"/>
      <c r="AE25" s="16"/>
      <c r="AF25" s="202" t="s">
        <v>166</v>
      </c>
      <c r="AG25" s="288" t="s">
        <v>165</v>
      </c>
      <c r="AJ25" s="1" t="s">
        <v>4</v>
      </c>
      <c r="AK25" s="231" t="s">
        <v>166</v>
      </c>
      <c r="AL25" s="135" t="s">
        <v>165</v>
      </c>
      <c r="AX25"/>
      <c r="AY25"/>
      <c r="AZ25"/>
      <c r="BA25"/>
      <c r="BB25"/>
      <c r="BC25"/>
      <c r="BD25"/>
      <c r="BE25"/>
      <c r="BF25"/>
    </row>
    <row r="26" spans="2:60" ht="15" customHeight="1" thickBot="1" x14ac:dyDescent="0.25">
      <c r="B26" s="52"/>
      <c r="C26" s="53"/>
      <c r="D26" s="54"/>
      <c r="F26" s="52"/>
      <c r="G26" s="53"/>
      <c r="H26" s="53"/>
      <c r="I26" s="53"/>
      <c r="J26" s="53"/>
      <c r="K26" s="53"/>
      <c r="L26" s="53"/>
      <c r="M26" s="54"/>
      <c r="O26"/>
      <c r="P26" s="648" t="s">
        <v>317</v>
      </c>
      <c r="Q26" s="647">
        <v>180.66666670000001</v>
      </c>
      <c r="R26" s="658">
        <v>1.3333333329999999</v>
      </c>
      <c r="S26" s="654">
        <f>Q26+R26*$P$13</f>
        <v>263.33333334600002</v>
      </c>
      <c r="U26" s="2"/>
      <c r="V26" s="2"/>
      <c r="W26" s="2"/>
      <c r="Y26" s="2"/>
      <c r="Z26" s="2"/>
      <c r="AA26" s="2"/>
      <c r="AB26" s="2"/>
      <c r="AC26" s="2"/>
      <c r="AD26" s="2"/>
      <c r="AE26" s="16"/>
      <c r="AF26" s="289">
        <v>0</v>
      </c>
      <c r="AG26" s="290">
        <f>AG14*(H10+30)+AG13</f>
        <v>249.8</v>
      </c>
      <c r="AK26" s="212">
        <v>0</v>
      </c>
      <c r="AL26" s="290">
        <f>AG18*(H10+30)+AG17</f>
        <v>100.02500000000001</v>
      </c>
      <c r="AX26"/>
      <c r="AY26"/>
      <c r="AZ26"/>
      <c r="BA26"/>
      <c r="BB26"/>
      <c r="BC26"/>
      <c r="BD26"/>
      <c r="BE26"/>
      <c r="BF26"/>
    </row>
    <row r="27" spans="2:60" ht="15" customHeight="1" thickTop="1" thickBot="1" x14ac:dyDescent="0.25">
      <c r="O27" s="163" t="s">
        <v>160</v>
      </c>
      <c r="P27" s="649" t="s">
        <v>319</v>
      </c>
      <c r="Q27" s="652">
        <v>177.7333333</v>
      </c>
      <c r="R27" s="644">
        <v>1.4666666669999999</v>
      </c>
      <c r="S27" s="661">
        <f>Q27+R27*$P$13</f>
        <v>268.66666665399998</v>
      </c>
      <c r="T27" s="657">
        <f>IF(P13&lt;30,S26,IF(P13&lt;45,S27,IF(P13&lt;55,S28,IF(P13&lt;65,S29,"Tempé&gt;35"))))</f>
        <v>268</v>
      </c>
      <c r="U27" s="2"/>
      <c r="V27" s="261" t="s">
        <v>108</v>
      </c>
      <c r="X27" s="1" t="s">
        <v>4</v>
      </c>
      <c r="AD27" s="2"/>
      <c r="AF27" s="293">
        <v>2000</v>
      </c>
      <c r="AG27" s="290">
        <f>AK14*(H10+30)+AK13</f>
        <v>259.45</v>
      </c>
      <c r="AK27" s="295">
        <v>2000</v>
      </c>
      <c r="AL27" s="290">
        <f>AK18*(H10+30)+AK17</f>
        <v>108.35000000000001</v>
      </c>
      <c r="AX27"/>
      <c r="AY27"/>
      <c r="AZ27"/>
      <c r="BA27"/>
      <c r="BB27"/>
      <c r="BC27"/>
      <c r="BD27"/>
      <c r="BE27"/>
      <c r="BF27"/>
    </row>
    <row r="28" spans="2:60" ht="15" customHeight="1" thickBot="1" x14ac:dyDescent="0.25">
      <c r="O28"/>
      <c r="P28" s="649" t="s">
        <v>320</v>
      </c>
      <c r="Q28" s="652">
        <v>165.4</v>
      </c>
      <c r="R28" s="644">
        <v>1.8</v>
      </c>
      <c r="S28" s="661">
        <f>Q28+R28*$P$13</f>
        <v>277</v>
      </c>
      <c r="U28" s="21"/>
      <c r="X28" s="1"/>
      <c r="AD28" s="16"/>
      <c r="AF28" s="293">
        <v>4000</v>
      </c>
      <c r="AG28" s="290">
        <f>AO14*(H10+30)+AO13</f>
        <v>270.5</v>
      </c>
      <c r="AH28" s="5"/>
      <c r="AI28" s="5"/>
      <c r="AJ28" s="5"/>
      <c r="AK28" s="295">
        <v>4000</v>
      </c>
      <c r="AL28" s="290">
        <f>AO18*(H10+30)+AO17</f>
        <v>115.875</v>
      </c>
      <c r="AX28"/>
      <c r="AY28"/>
      <c r="AZ28"/>
      <c r="BA28"/>
      <c r="BB28"/>
      <c r="BC28"/>
      <c r="BD28"/>
      <c r="BE28"/>
      <c r="BF28"/>
    </row>
    <row r="29" spans="2:60" ht="15" customHeight="1" thickBot="1" x14ac:dyDescent="0.25">
      <c r="O29"/>
      <c r="P29" s="650" t="s">
        <v>321</v>
      </c>
      <c r="Q29" s="653">
        <v>193.6</v>
      </c>
      <c r="R29" s="643">
        <v>1.2</v>
      </c>
      <c r="S29" s="662">
        <f>Q29+R29*$P$13</f>
        <v>268</v>
      </c>
      <c r="U29" s="2"/>
      <c r="V29" s="231" t="s">
        <v>109</v>
      </c>
      <c r="W29" s="147">
        <f>H6</f>
        <v>255</v>
      </c>
      <c r="X29" s="1"/>
      <c r="Y29" s="260">
        <f>RADIANS(W29)</f>
        <v>4.4505895925855405</v>
      </c>
      <c r="Z29" s="2" t="s">
        <v>111</v>
      </c>
      <c r="AA29" s="260">
        <f>RADIANS(270)-Y29</f>
        <v>0.26179938779914913</v>
      </c>
      <c r="AB29" s="390"/>
      <c r="AC29" s="2"/>
      <c r="AD29" s="2"/>
      <c r="AF29" s="294">
        <v>6000</v>
      </c>
      <c r="AG29" s="291">
        <f>AS14*(H10+30)+AS13</f>
        <v>281.72500000000002</v>
      </c>
      <c r="AH29" s="5"/>
      <c r="AI29" s="5"/>
      <c r="AJ29" s="5"/>
      <c r="AK29" s="296">
        <v>6000</v>
      </c>
      <c r="AL29" s="291">
        <f>AS18*(H10+30)+AS17</f>
        <v>125.82499999999999</v>
      </c>
      <c r="AX29"/>
      <c r="AY29"/>
      <c r="AZ29"/>
      <c r="BA29"/>
      <c r="BB29"/>
      <c r="BC29"/>
      <c r="BD29"/>
      <c r="BE29"/>
      <c r="BF29"/>
      <c r="BG29" s="43"/>
      <c r="BH29" s="640"/>
    </row>
    <row r="30" spans="2:60" ht="15" customHeight="1" thickBot="1" x14ac:dyDescent="0.25">
      <c r="O30"/>
      <c r="P30"/>
      <c r="Q30"/>
      <c r="U30" s="2"/>
      <c r="V30" s="212" t="s">
        <v>110</v>
      </c>
      <c r="W30" s="149">
        <f>H7</f>
        <v>5</v>
      </c>
      <c r="X30" s="1"/>
      <c r="Z30" s="2"/>
      <c r="AD30" s="2"/>
      <c r="AF30" s="5"/>
      <c r="AG30" s="5"/>
      <c r="AH30" s="5"/>
      <c r="AI30" s="5"/>
      <c r="AJ30" s="5"/>
      <c r="AX30"/>
      <c r="AY30"/>
      <c r="AZ30"/>
      <c r="BA30"/>
      <c r="BB30"/>
      <c r="BC30"/>
      <c r="BD30"/>
      <c r="BE30"/>
      <c r="BF30"/>
    </row>
    <row r="31" spans="2:60" ht="15" customHeight="1" thickBot="1" x14ac:dyDescent="0.25">
      <c r="O31"/>
      <c r="P31"/>
      <c r="Q31" s="376" t="s">
        <v>172</v>
      </c>
      <c r="R31" s="377" t="s">
        <v>173</v>
      </c>
      <c r="S31" s="660" t="s">
        <v>318</v>
      </c>
      <c r="U31" s="2"/>
      <c r="V31" s="208" t="s">
        <v>70</v>
      </c>
      <c r="W31" s="151">
        <f>H5</f>
        <v>285</v>
      </c>
      <c r="X31" s="1"/>
      <c r="Y31" s="260">
        <f>RADIANS(W31)</f>
        <v>4.9741883681838388</v>
      </c>
      <c r="Z31" s="2" t="s">
        <v>112</v>
      </c>
      <c r="AA31" s="260">
        <f>RADIANS(90)-Y31</f>
        <v>-3.4033920413889422</v>
      </c>
      <c r="AB31" s="390"/>
      <c r="AC31" s="2"/>
      <c r="AD31" s="2"/>
      <c r="AE31" s="16"/>
      <c r="AF31" s="298" t="s">
        <v>181</v>
      </c>
      <c r="AK31" s="298" t="s">
        <v>181</v>
      </c>
      <c r="AX31"/>
      <c r="AY31"/>
      <c r="AZ31"/>
      <c r="BA31"/>
      <c r="BB31"/>
      <c r="BC31"/>
      <c r="BD31"/>
      <c r="BE31"/>
      <c r="BF31"/>
      <c r="BG31" s="43"/>
      <c r="BH31" s="640"/>
    </row>
    <row r="32" spans="2:60" ht="15" customHeight="1" thickBot="1" x14ac:dyDescent="0.25">
      <c r="O32"/>
      <c r="P32" s="648" t="s">
        <v>317</v>
      </c>
      <c r="Q32" s="647">
        <v>225</v>
      </c>
      <c r="R32" s="658">
        <v>1.6666666670000001</v>
      </c>
      <c r="S32" s="654">
        <f>Q32+R32*$P$13</f>
        <v>328.33333335399999</v>
      </c>
      <c r="AE32" s="16"/>
      <c r="AX32"/>
      <c r="AY32"/>
      <c r="AZ32"/>
      <c r="BA32"/>
      <c r="BB32"/>
      <c r="BC32"/>
      <c r="BD32"/>
      <c r="BE32"/>
      <c r="BF32"/>
    </row>
    <row r="33" spans="15:58" ht="15" customHeight="1" thickBot="1" x14ac:dyDescent="0.25">
      <c r="O33" s="163" t="s">
        <v>161</v>
      </c>
      <c r="P33" s="649" t="s">
        <v>319</v>
      </c>
      <c r="Q33" s="652">
        <v>219</v>
      </c>
      <c r="R33" s="644">
        <v>2</v>
      </c>
      <c r="S33" s="661">
        <f>Q33+R33*$P$13</f>
        <v>343</v>
      </c>
      <c r="T33" s="657">
        <f>IF(P13&lt;30,S32,IF(P13&lt;45,S33,IF(P13&lt;55,S34,IF(P13&lt;65,S35,"Tempé&gt;35"))))</f>
        <v>339.1</v>
      </c>
      <c r="U33" s="2"/>
      <c r="V33" s="947" t="s">
        <v>22</v>
      </c>
      <c r="W33" s="948"/>
      <c r="Y33" s="664">
        <f>H7*(COS(AA29)*COS(AA31)+SIN(AA29)*SIN(AA31))</f>
        <v>-4.3301270189221954</v>
      </c>
      <c r="Z33" s="2"/>
      <c r="AA33" s="2"/>
      <c r="AB33" s="2"/>
      <c r="AC33" s="2"/>
      <c r="AD33" s="2"/>
      <c r="AE33" s="16"/>
      <c r="AF33" s="297">
        <f>IF(K9&lt;=2000,AG26+(AG27-AG26)/2000*K9,IF(K9&lt;=4000,AG27+(AG28-AG27)/2000*(K9-2000),AG28+(AG29-AG28)/200*(K9-4000)))</f>
        <v>251.85545000000002</v>
      </c>
      <c r="AG33" s="1" t="s">
        <v>182</v>
      </c>
      <c r="AK33" s="297">
        <f>IF(K9&lt;=2000,AL26+(AL27-AL26)/2000*K9,IF(K9&lt;=4000,AL27+(AL28-AL27)/2000*(K9-2000),AL28+(AL29-AL28)/2000*(K9-4000)))</f>
        <v>101.798225</v>
      </c>
      <c r="AL33" s="1" t="s">
        <v>182</v>
      </c>
      <c r="AX33"/>
      <c r="AY33"/>
      <c r="AZ33"/>
      <c r="BA33"/>
      <c r="BB33"/>
      <c r="BC33"/>
      <c r="BD33"/>
      <c r="BE33"/>
      <c r="BF33"/>
    </row>
    <row r="34" spans="15:58" ht="15" customHeight="1" thickBot="1" x14ac:dyDescent="0.25">
      <c r="O34"/>
      <c r="P34" s="649" t="s">
        <v>320</v>
      </c>
      <c r="Q34" s="652">
        <v>225.6</v>
      </c>
      <c r="R34" s="644">
        <v>1.8</v>
      </c>
      <c r="S34" s="661">
        <f>Q34+R34*$P$13</f>
        <v>337.2</v>
      </c>
      <c r="U34" s="2"/>
      <c r="Y34" s="2"/>
      <c r="Z34" s="2"/>
      <c r="AA34" s="2"/>
      <c r="AB34" s="2"/>
      <c r="AC34" s="2"/>
      <c r="AD34" s="2"/>
      <c r="AX34"/>
      <c r="AY34"/>
      <c r="AZ34"/>
      <c r="BA34"/>
      <c r="BB34"/>
      <c r="BC34"/>
      <c r="BD34"/>
      <c r="BE34"/>
      <c r="BF34"/>
    </row>
    <row r="35" spans="15:58" ht="15" customHeight="1" thickBot="1" x14ac:dyDescent="0.25">
      <c r="O35"/>
      <c r="P35" s="650" t="s">
        <v>321</v>
      </c>
      <c r="Q35" s="653">
        <v>221.3</v>
      </c>
      <c r="R35" s="643">
        <v>1.9</v>
      </c>
      <c r="S35" s="662">
        <f>Q35+R35*$P$13</f>
        <v>339.1</v>
      </c>
      <c r="U35" s="2"/>
      <c r="V35" s="947" t="s">
        <v>95</v>
      </c>
      <c r="W35" s="948"/>
      <c r="Y35" s="664">
        <f>H7*(SIN(AA29)*COS(AA31)-COS(AA29)*SIN(AA31))</f>
        <v>-2.4999999999999964</v>
      </c>
      <c r="Z35" s="2"/>
      <c r="AA35" s="2" t="s">
        <v>4</v>
      </c>
      <c r="AB35" s="2"/>
      <c r="AC35" s="2"/>
      <c r="AD35" s="2"/>
      <c r="AF35" s="298" t="s">
        <v>180</v>
      </c>
      <c r="AK35" s="298" t="s">
        <v>180</v>
      </c>
      <c r="AX35"/>
      <c r="AY35"/>
      <c r="AZ35"/>
      <c r="BA35"/>
      <c r="BB35"/>
      <c r="BC35"/>
      <c r="BD35"/>
      <c r="BE35"/>
      <c r="BF35"/>
    </row>
    <row r="36" spans="15:58" ht="15" customHeight="1" thickBot="1" x14ac:dyDescent="0.25">
      <c r="O36" s="2"/>
      <c r="P36" s="2"/>
      <c r="Q36" s="2"/>
      <c r="R36" s="2"/>
      <c r="S36" s="2"/>
      <c r="T36" s="2"/>
      <c r="U36" s="2"/>
      <c r="V36" s="2"/>
      <c r="W36" s="2"/>
      <c r="Y36" s="2"/>
      <c r="Z36" s="2"/>
      <c r="AA36" s="2"/>
      <c r="AB36" s="2"/>
      <c r="AC36" s="2"/>
      <c r="AD36" s="2"/>
      <c r="AF36" s="5"/>
      <c r="AG36" s="5"/>
      <c r="AH36" s="5"/>
      <c r="AI36" s="5"/>
      <c r="AJ36" s="5"/>
    </row>
    <row r="37" spans="15:58" ht="15" customHeight="1" thickBot="1" x14ac:dyDescent="0.25">
      <c r="O37" s="945" t="s">
        <v>168</v>
      </c>
      <c r="P37" s="946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2"/>
      <c r="AB37" s="2"/>
      <c r="AC37" s="2"/>
      <c r="AD37" s="2"/>
      <c r="AF37" s="297">
        <f>IF(K7&lt;0,AF33+(AF33/100)*K7,AF33+(AF33/50)*K7)</f>
        <v>240.94978911092193</v>
      </c>
      <c r="AG37" s="1" t="s">
        <v>182</v>
      </c>
      <c r="AH37" s="5"/>
      <c r="AI37" s="5"/>
      <c r="AJ37" s="5"/>
      <c r="AK37" s="297">
        <f>IF(K7&lt;0,AK33+(AK33/50)*K7,AK33+(AK33/50)*K7)</f>
        <v>92.982240108983589</v>
      </c>
      <c r="AL37" s="1" t="s">
        <v>182</v>
      </c>
    </row>
    <row r="38" spans="15:58" ht="15" customHeight="1" thickBot="1" x14ac:dyDescent="0.25">
      <c r="O38" s="4"/>
      <c r="P38" s="4" t="s">
        <v>156</v>
      </c>
      <c r="Q38" s="163"/>
      <c r="R38" s="163"/>
      <c r="S38" s="237" t="s">
        <v>159</v>
      </c>
      <c r="T38" s="163"/>
      <c r="U38" s="163"/>
      <c r="V38" s="237" t="s">
        <v>160</v>
      </c>
      <c r="W38" s="237"/>
      <c r="X38" s="237"/>
      <c r="Y38" s="237" t="s">
        <v>161</v>
      </c>
      <c r="Z38" s="163"/>
      <c r="AA38" s="2"/>
      <c r="AB38" s="2"/>
      <c r="AC38" s="2"/>
      <c r="AD38" s="2"/>
    </row>
    <row r="39" spans="15:58" ht="15" customHeight="1" thickBot="1" x14ac:dyDescent="0.25">
      <c r="O39" s="132" t="s">
        <v>31</v>
      </c>
      <c r="P39" s="244" t="s">
        <v>157</v>
      </c>
      <c r="Q39" s="238" t="s">
        <v>158</v>
      </c>
      <c r="R39" s="132" t="s">
        <v>31</v>
      </c>
      <c r="S39" s="244" t="s">
        <v>157</v>
      </c>
      <c r="T39" s="238" t="s">
        <v>158</v>
      </c>
      <c r="U39" s="132" t="s">
        <v>31</v>
      </c>
      <c r="V39" s="244" t="s">
        <v>157</v>
      </c>
      <c r="W39" s="238" t="s">
        <v>158</v>
      </c>
      <c r="X39" s="132" t="s">
        <v>31</v>
      </c>
      <c r="Y39" s="244" t="s">
        <v>157</v>
      </c>
      <c r="Z39" s="238" t="s">
        <v>158</v>
      </c>
      <c r="AA39" s="2"/>
      <c r="AB39" s="2"/>
      <c r="AC39" s="2"/>
      <c r="AD39" s="2"/>
      <c r="AF39" s="681" t="s">
        <v>286</v>
      </c>
      <c r="AI39" s="1" t="s">
        <v>4</v>
      </c>
      <c r="AK39" s="681" t="s">
        <v>286</v>
      </c>
    </row>
    <row r="40" spans="15:58" ht="15" customHeight="1" thickBot="1" x14ac:dyDescent="0.25">
      <c r="O40" s="148"/>
      <c r="P40" s="9"/>
      <c r="Q40" s="239"/>
      <c r="R40" s="148"/>
      <c r="S40" s="9"/>
      <c r="T40" s="239"/>
      <c r="U40" s="148"/>
      <c r="V40" s="9"/>
      <c r="W40" s="239"/>
      <c r="X40" s="212"/>
      <c r="Y40" s="9"/>
      <c r="Z40" s="239"/>
      <c r="AA40" s="2"/>
      <c r="AB40" s="2"/>
      <c r="AC40" s="2"/>
      <c r="AD40" s="2"/>
      <c r="AF40" s="5"/>
      <c r="AG40" s="5"/>
      <c r="AH40" s="5"/>
      <c r="AI40" s="5"/>
      <c r="AJ40" s="5"/>
      <c r="AK40" s="5"/>
      <c r="AL40" s="5"/>
      <c r="AM40" s="5"/>
    </row>
    <row r="41" spans="15:58" ht="15" customHeight="1" thickBot="1" x14ac:dyDescent="0.25">
      <c r="O41" s="242">
        <v>-15</v>
      </c>
      <c r="P41" s="245">
        <f>O41+30</f>
        <v>15</v>
      </c>
      <c r="Q41" s="240">
        <v>104</v>
      </c>
      <c r="R41" s="242">
        <v>-19</v>
      </c>
      <c r="S41" s="245">
        <f>R41+30</f>
        <v>11</v>
      </c>
      <c r="T41" s="240">
        <v>123</v>
      </c>
      <c r="U41" s="242">
        <v>-23</v>
      </c>
      <c r="V41" s="245">
        <f>U41+30</f>
        <v>7</v>
      </c>
      <c r="W41" s="240">
        <v>152</v>
      </c>
      <c r="X41" s="242">
        <v>-27</v>
      </c>
      <c r="Y41" s="245">
        <f>X41+30</f>
        <v>3</v>
      </c>
      <c r="Z41" s="240">
        <v>179</v>
      </c>
      <c r="AA41" s="2"/>
      <c r="AB41" s="2"/>
      <c r="AC41" s="2"/>
      <c r="AD41" s="2"/>
      <c r="AF41" s="682">
        <f>IF(H12="d",AF37+AK37/10,AF37)</f>
        <v>250.24801312182029</v>
      </c>
      <c r="AH41" s="43"/>
      <c r="AI41" s="43"/>
      <c r="AK41" s="682">
        <f>IF(H12="d",AK37+(AK37/10),AK37)</f>
        <v>102.28046411988194</v>
      </c>
    </row>
    <row r="42" spans="15:58" ht="15" customHeight="1" x14ac:dyDescent="0.2">
      <c r="O42" s="242">
        <v>0</v>
      </c>
      <c r="P42" s="245">
        <f>O42+30</f>
        <v>30</v>
      </c>
      <c r="Q42" s="240">
        <v>113</v>
      </c>
      <c r="R42" s="242">
        <v>-4</v>
      </c>
      <c r="S42" s="245">
        <f>R42+30</f>
        <v>26</v>
      </c>
      <c r="T42" s="240">
        <v>138</v>
      </c>
      <c r="U42" s="242">
        <v>-8</v>
      </c>
      <c r="V42" s="245">
        <f>U42+30</f>
        <v>22</v>
      </c>
      <c r="W42" s="240">
        <v>167</v>
      </c>
      <c r="X42" s="242">
        <v>-12</v>
      </c>
      <c r="Y42" s="245">
        <f>X42+30</f>
        <v>18</v>
      </c>
      <c r="Z42" s="240">
        <v>206</v>
      </c>
      <c r="AA42" s="2"/>
      <c r="AB42" s="2"/>
      <c r="AC42" s="2"/>
      <c r="AD42" s="2"/>
      <c r="AG42" s="1" t="s">
        <v>4</v>
      </c>
    </row>
    <row r="43" spans="15:58" ht="15" customHeight="1" x14ac:dyDescent="0.2">
      <c r="O43" s="242">
        <v>15</v>
      </c>
      <c r="P43" s="245">
        <f>O43+30</f>
        <v>45</v>
      </c>
      <c r="Q43" s="240">
        <v>123</v>
      </c>
      <c r="R43" s="242">
        <v>11</v>
      </c>
      <c r="S43" s="245">
        <f>R43+30</f>
        <v>41</v>
      </c>
      <c r="T43" s="240">
        <v>150</v>
      </c>
      <c r="U43" s="242">
        <v>7</v>
      </c>
      <c r="V43" s="245">
        <f>U43+30</f>
        <v>37</v>
      </c>
      <c r="W43" s="240">
        <v>185</v>
      </c>
      <c r="X43" s="242">
        <v>3</v>
      </c>
      <c r="Y43" s="245">
        <f>X43+30</f>
        <v>33</v>
      </c>
      <c r="Z43" s="240">
        <v>223</v>
      </c>
      <c r="AA43" s="2"/>
      <c r="AB43" s="2"/>
      <c r="AC43" s="2"/>
      <c r="AD43" s="2"/>
      <c r="AH43" s="43"/>
      <c r="AI43" s="43"/>
      <c r="AK43" s="43"/>
    </row>
    <row r="44" spans="15:58" ht="15" customHeight="1" x14ac:dyDescent="0.2">
      <c r="O44" s="242">
        <v>25</v>
      </c>
      <c r="P44" s="245">
        <f>O44+30</f>
        <v>55</v>
      </c>
      <c r="Q44" s="240">
        <v>133</v>
      </c>
      <c r="R44" s="242">
        <v>21</v>
      </c>
      <c r="S44" s="245">
        <f>R44+30</f>
        <v>51</v>
      </c>
      <c r="T44" s="240">
        <v>160</v>
      </c>
      <c r="U44" s="242">
        <v>17</v>
      </c>
      <c r="V44" s="245">
        <f>U44+30</f>
        <v>47</v>
      </c>
      <c r="W44" s="240">
        <v>198</v>
      </c>
      <c r="X44" s="242">
        <v>13</v>
      </c>
      <c r="Y44" s="245">
        <f>X44+30</f>
        <v>43</v>
      </c>
      <c r="Z44" s="240">
        <v>245</v>
      </c>
      <c r="AA44" s="2"/>
      <c r="AB44" s="2"/>
      <c r="AC44" s="2"/>
      <c r="AD44" s="2"/>
      <c r="AF44" s="2"/>
      <c r="AK44" s="2"/>
    </row>
    <row r="45" spans="15:58" ht="15" customHeight="1" thickBot="1" x14ac:dyDescent="0.25">
      <c r="O45" s="243">
        <v>35</v>
      </c>
      <c r="P45" s="246">
        <f>O45+30</f>
        <v>65</v>
      </c>
      <c r="Q45" s="241">
        <v>142</v>
      </c>
      <c r="R45" s="243">
        <v>31</v>
      </c>
      <c r="S45" s="246">
        <f>R45+30</f>
        <v>61</v>
      </c>
      <c r="T45" s="241">
        <v>165</v>
      </c>
      <c r="U45" s="243">
        <v>27</v>
      </c>
      <c r="V45" s="246">
        <f>U45+30</f>
        <v>57</v>
      </c>
      <c r="W45" s="241">
        <v>211</v>
      </c>
      <c r="X45" s="243">
        <v>23</v>
      </c>
      <c r="Y45" s="246">
        <f>X45+30</f>
        <v>53</v>
      </c>
      <c r="Z45" s="241">
        <v>264</v>
      </c>
      <c r="AA45" s="2"/>
      <c r="AB45" s="2"/>
      <c r="AC45" s="2"/>
      <c r="AD45" s="2"/>
      <c r="AF45" s="5"/>
      <c r="AG45" s="5"/>
      <c r="AH45" s="5"/>
      <c r="AI45" s="5"/>
      <c r="AJ45" s="5"/>
    </row>
    <row r="46" spans="15:58" ht="15" customHeight="1" thickBot="1" x14ac:dyDescent="0.25">
      <c r="O46" s="2"/>
      <c r="P46" s="2"/>
      <c r="Q46" s="2"/>
      <c r="R46" s="2"/>
      <c r="S46" s="2"/>
      <c r="T46" s="2"/>
      <c r="U46" s="2"/>
      <c r="V46" s="2"/>
      <c r="W46" s="2"/>
      <c r="Y46" s="2"/>
      <c r="Z46" s="2"/>
      <c r="AA46" s="2"/>
      <c r="AB46" s="2"/>
      <c r="AC46" s="2"/>
      <c r="AD46" s="2"/>
      <c r="AF46" s="5"/>
      <c r="AG46" s="5"/>
      <c r="AH46" s="5"/>
      <c r="AI46" s="5"/>
      <c r="AJ46" s="5"/>
    </row>
    <row r="47" spans="15:58" ht="15" customHeight="1" thickBot="1" x14ac:dyDescent="0.25">
      <c r="O47" s="651" t="s">
        <v>165</v>
      </c>
      <c r="P47" s="402">
        <f>H10+30</f>
        <v>62</v>
      </c>
      <c r="Q47" s="376" t="s">
        <v>172</v>
      </c>
      <c r="R47" s="377" t="s">
        <v>173</v>
      </c>
      <c r="S47" s="660" t="s">
        <v>318</v>
      </c>
      <c r="U47" s="2"/>
      <c r="W47" s="5" t="s">
        <v>171</v>
      </c>
      <c r="X47" s="1"/>
      <c r="Z47" s="2"/>
      <c r="AA47" s="2"/>
      <c r="AB47" s="2"/>
      <c r="AC47" s="2"/>
      <c r="AD47" s="2"/>
      <c r="AF47" s="5"/>
      <c r="AG47" s="5"/>
      <c r="AH47" s="5"/>
      <c r="AI47" s="5"/>
      <c r="AJ47" s="5"/>
    </row>
    <row r="48" spans="15:58" ht="15" customHeight="1" thickBot="1" x14ac:dyDescent="0.25">
      <c r="O48"/>
      <c r="P48" s="648" t="s">
        <v>317</v>
      </c>
      <c r="Q48" s="647">
        <v>95</v>
      </c>
      <c r="R48" s="658">
        <v>0.6</v>
      </c>
      <c r="S48" s="654">
        <f>Q48+R48*$P$47</f>
        <v>132.19999999999999</v>
      </c>
      <c r="U48" s="2"/>
      <c r="V48" s="655" t="s">
        <v>181</v>
      </c>
      <c r="W48" s="656">
        <f>K9</f>
        <v>426</v>
      </c>
      <c r="X48" s="43" t="s">
        <v>323</v>
      </c>
      <c r="Y48" s="3">
        <f>((T55-T49)/2000)*W48</f>
        <v>5.5805999999999969</v>
      </c>
      <c r="Z48" s="2"/>
      <c r="AA48" s="2"/>
      <c r="AB48" s="2"/>
      <c r="AC48" s="2"/>
      <c r="AD48" s="2"/>
    </row>
    <row r="49" spans="13:33" ht="15" customHeight="1" thickBot="1" x14ac:dyDescent="0.25">
      <c r="O49" s="163" t="s">
        <v>156</v>
      </c>
      <c r="P49" s="649" t="s">
        <v>319</v>
      </c>
      <c r="Q49" s="652">
        <v>93</v>
      </c>
      <c r="R49" s="644">
        <v>0.66666666669999997</v>
      </c>
      <c r="S49" s="661">
        <f>Q49+R49*$P$47</f>
        <v>134.3333333354</v>
      </c>
      <c r="T49" s="657">
        <f>IF(P47&lt;30,S48,IF(P47&lt;45,S49,IF(P47&lt;55,S50,IF(P47&lt;65,S51,"Tempé&gt;35"))))</f>
        <v>139.30000000000001</v>
      </c>
      <c r="U49" s="2"/>
      <c r="W49" s="655">
        <f>IF(W48&lt;2000,T49+Y48,IF(W48&lt;4000,T55+Y50,IF(W48&lt;6000,T61+Y52,"Zp &gt; 6000")))</f>
        <v>144.88060000000002</v>
      </c>
      <c r="X49" s="1"/>
      <c r="Z49" s="2"/>
      <c r="AA49" s="2"/>
      <c r="AB49" s="2"/>
      <c r="AC49" s="2"/>
      <c r="AD49" s="2"/>
    </row>
    <row r="50" spans="13:33" ht="15" customHeight="1" x14ac:dyDescent="0.2">
      <c r="O50"/>
      <c r="P50" s="649" t="s">
        <v>320</v>
      </c>
      <c r="Q50" s="652">
        <v>78</v>
      </c>
      <c r="R50" s="644">
        <v>1</v>
      </c>
      <c r="S50" s="661">
        <f>Q50+R50*$P$47</f>
        <v>140</v>
      </c>
      <c r="U50"/>
      <c r="X50" s="43" t="s">
        <v>324</v>
      </c>
      <c r="Y50" s="3">
        <f>((T61-T55)/2000)*(W48-2000)</f>
        <v>-40.923999999999999</v>
      </c>
      <c r="Z50" s="2"/>
      <c r="AA50" s="2"/>
      <c r="AB50" s="2"/>
      <c r="AC50" s="2"/>
      <c r="AD50" s="2"/>
    </row>
    <row r="51" spans="13:33" ht="15" customHeight="1" thickBot="1" x14ac:dyDescent="0.25">
      <c r="O51"/>
      <c r="P51" s="650" t="s">
        <v>321</v>
      </c>
      <c r="Q51" s="653">
        <v>83.5</v>
      </c>
      <c r="R51" s="643">
        <v>0.9</v>
      </c>
      <c r="S51" s="662">
        <f>Q51+R51*$P$47</f>
        <v>139.30000000000001</v>
      </c>
      <c r="U51"/>
      <c r="X51" s="1"/>
      <c r="Z51" s="2"/>
      <c r="AA51" s="2"/>
      <c r="AB51" s="2"/>
      <c r="AC51" s="2"/>
      <c r="AD51" s="2"/>
      <c r="AF51" s="944"/>
      <c r="AG51" s="944"/>
    </row>
    <row r="52" spans="13:33" ht="15" customHeight="1" thickBot="1" x14ac:dyDescent="0.25">
      <c r="O52"/>
      <c r="P52"/>
      <c r="Q52"/>
      <c r="T52" s="1" t="s">
        <v>4</v>
      </c>
      <c r="U52"/>
      <c r="X52" s="43" t="s">
        <v>325</v>
      </c>
      <c r="Y52" s="3">
        <f>((T67-T61)/2000)*(W48-4000)</f>
        <v>-113.65320000000003</v>
      </c>
      <c r="AF52" s="5"/>
      <c r="AG52" s="5"/>
    </row>
    <row r="53" spans="13:33" ht="15" customHeight="1" thickBot="1" x14ac:dyDescent="0.25">
      <c r="M53" s="2"/>
      <c r="O53"/>
      <c r="P53"/>
      <c r="Q53" s="376" t="s">
        <v>172</v>
      </c>
      <c r="R53" s="377" t="s">
        <v>173</v>
      </c>
      <c r="S53" s="660" t="s">
        <v>318</v>
      </c>
      <c r="U53" s="2"/>
      <c r="V53" s="2"/>
      <c r="W53" s="2"/>
      <c r="Y53" s="2" t="s">
        <v>4</v>
      </c>
    </row>
    <row r="54" spans="13:33" ht="15" customHeight="1" thickBot="1" x14ac:dyDescent="0.25">
      <c r="M54" s="2"/>
      <c r="O54"/>
      <c r="P54" s="648" t="s">
        <v>317</v>
      </c>
      <c r="Q54" s="647">
        <v>112</v>
      </c>
      <c r="R54" s="658">
        <v>1</v>
      </c>
      <c r="S54" s="654">
        <f>Q54+R54*$P$47</f>
        <v>174</v>
      </c>
      <c r="U54" s="2"/>
      <c r="V54" s="2"/>
      <c r="W54" s="2"/>
      <c r="Y54" s="2"/>
    </row>
    <row r="55" spans="13:33" ht="15" customHeight="1" thickBot="1" x14ac:dyDescent="0.25">
      <c r="M55" s="2"/>
      <c r="O55" s="163" t="s">
        <v>322</v>
      </c>
      <c r="P55" s="649" t="s">
        <v>319</v>
      </c>
      <c r="Q55" s="652">
        <v>117.2</v>
      </c>
      <c r="R55" s="644">
        <v>0.8</v>
      </c>
      <c r="S55" s="661">
        <f>Q55+R55*$P$47</f>
        <v>166.8</v>
      </c>
      <c r="T55" s="657">
        <f>IF(P47&lt;30,S54,IF(P47&lt;45,S55,IF(P47&lt;55,S56,IF(P47&lt;65,S57,"Tempé&gt;35"))))</f>
        <v>165.5</v>
      </c>
      <c r="U55" s="2"/>
      <c r="V55" s="2"/>
      <c r="W55" s="2"/>
      <c r="Y55" s="2"/>
    </row>
    <row r="56" spans="13:33" ht="15" customHeight="1" x14ac:dyDescent="0.2">
      <c r="M56" s="2"/>
      <c r="O56"/>
      <c r="P56" s="649" t="s">
        <v>320</v>
      </c>
      <c r="Q56" s="652">
        <v>109</v>
      </c>
      <c r="R56" s="644">
        <v>1</v>
      </c>
      <c r="S56" s="661">
        <f>Q56+R56*$P$47</f>
        <v>171</v>
      </c>
      <c r="U56" s="2"/>
      <c r="V56" s="2"/>
      <c r="W56" s="2"/>
      <c r="Y56" s="2"/>
    </row>
    <row r="57" spans="13:33" ht="15" customHeight="1" thickBot="1" x14ac:dyDescent="0.25">
      <c r="M57" s="2"/>
      <c r="O57"/>
      <c r="P57" s="650" t="s">
        <v>321</v>
      </c>
      <c r="Q57" s="653">
        <v>134.5</v>
      </c>
      <c r="R57" s="643">
        <v>0.5</v>
      </c>
      <c r="S57" s="662">
        <f>Q57+R57*$P$47</f>
        <v>165.5</v>
      </c>
      <c r="U57" s="2"/>
      <c r="V57" s="2"/>
      <c r="W57" s="2"/>
      <c r="Y57" s="2"/>
    </row>
    <row r="58" spans="13:33" ht="15" customHeight="1" thickBot="1" x14ac:dyDescent="0.25">
      <c r="M58" s="2"/>
      <c r="O58"/>
      <c r="P58"/>
      <c r="Q58"/>
      <c r="U58" s="2"/>
      <c r="V58" s="2"/>
      <c r="W58" s="2"/>
      <c r="Y58" s="2"/>
    </row>
    <row r="59" spans="13:33" ht="15" customHeight="1" thickBot="1" x14ac:dyDescent="0.25">
      <c r="M59" s="2"/>
      <c r="O59"/>
      <c r="P59"/>
      <c r="Q59" s="376" t="s">
        <v>172</v>
      </c>
      <c r="R59" s="377" t="s">
        <v>173</v>
      </c>
      <c r="S59" s="660" t="s">
        <v>318</v>
      </c>
      <c r="U59" s="2"/>
      <c r="V59" s="2"/>
      <c r="W59" s="2"/>
      <c r="Y59" s="2"/>
    </row>
    <row r="60" spans="13:33" ht="15" customHeight="1" thickBot="1" x14ac:dyDescent="0.25">
      <c r="M60" s="2"/>
      <c r="O60"/>
      <c r="P60" s="648" t="s">
        <v>317</v>
      </c>
      <c r="Q60" s="647">
        <v>145</v>
      </c>
      <c r="R60" s="658">
        <v>1</v>
      </c>
      <c r="S60" s="654">
        <f>Q60+R60*$P$47</f>
        <v>207</v>
      </c>
      <c r="U60" s="2"/>
      <c r="V60" s="2"/>
      <c r="W60" s="2"/>
      <c r="Y60" s="2"/>
    </row>
    <row r="61" spans="13:33" ht="15" customHeight="1" thickBot="1" x14ac:dyDescent="0.25">
      <c r="M61" s="2"/>
      <c r="O61" s="163" t="s">
        <v>160</v>
      </c>
      <c r="P61" s="649" t="s">
        <v>319</v>
      </c>
      <c r="Q61" s="652">
        <v>140.6</v>
      </c>
      <c r="R61" s="644">
        <v>1.2</v>
      </c>
      <c r="S61" s="661">
        <f>Q61+R61*$P$47</f>
        <v>215</v>
      </c>
      <c r="T61" s="657">
        <f>IF(P47&lt;30,S60,IF(P47&lt;45,S61,IF(P47&lt;55,S62,IF(P47&lt;65,S63,"Tempé&gt;35"))))</f>
        <v>217.5</v>
      </c>
      <c r="U61" s="2"/>
      <c r="V61" s="2"/>
      <c r="W61" s="2"/>
      <c r="Y61" s="2"/>
    </row>
    <row r="62" spans="13:33" ht="15" customHeight="1" x14ac:dyDescent="0.2">
      <c r="M62" s="2"/>
      <c r="O62"/>
      <c r="P62" s="649" t="s">
        <v>320</v>
      </c>
      <c r="Q62" s="652">
        <v>136.9</v>
      </c>
      <c r="R62" s="644">
        <v>1.3</v>
      </c>
      <c r="S62" s="661">
        <f>Q62+R62*$P$47</f>
        <v>217.5</v>
      </c>
      <c r="U62" s="21"/>
      <c r="V62" s="21"/>
      <c r="W62" s="16"/>
      <c r="X62" s="5"/>
      <c r="Y62" s="16"/>
    </row>
    <row r="63" spans="13:33" ht="15" customHeight="1" thickBot="1" x14ac:dyDescent="0.25">
      <c r="M63" s="2"/>
      <c r="O63"/>
      <c r="P63" s="650" t="s">
        <v>321</v>
      </c>
      <c r="Q63" s="653">
        <v>136.9</v>
      </c>
      <c r="R63" s="643">
        <v>1.3</v>
      </c>
      <c r="S63" s="662">
        <f>Q63+R63*$P$47</f>
        <v>217.5</v>
      </c>
      <c r="U63" s="2"/>
      <c r="V63" s="2"/>
      <c r="W63" s="2"/>
      <c r="Y63" s="2"/>
    </row>
    <row r="64" spans="13:33" ht="15" customHeight="1" thickBot="1" x14ac:dyDescent="0.25">
      <c r="M64" s="2"/>
      <c r="O64"/>
      <c r="P64"/>
      <c r="Q64"/>
      <c r="U64" s="2"/>
      <c r="V64" s="2"/>
      <c r="W64" s="2"/>
      <c r="Y64" s="2"/>
    </row>
    <row r="65" spans="13:30" ht="15" customHeight="1" thickBot="1" x14ac:dyDescent="0.25">
      <c r="M65" s="2"/>
      <c r="O65"/>
      <c r="P65"/>
      <c r="Q65" s="376" t="s">
        <v>172</v>
      </c>
      <c r="R65" s="377" t="s">
        <v>173</v>
      </c>
      <c r="S65" s="660" t="s">
        <v>318</v>
      </c>
      <c r="U65" s="2"/>
      <c r="V65" s="2"/>
      <c r="W65" s="2"/>
      <c r="Y65" s="2"/>
    </row>
    <row r="66" spans="13:30" ht="15" customHeight="1" thickBot="1" x14ac:dyDescent="0.25">
      <c r="M66" s="2"/>
      <c r="O66"/>
      <c r="P66" s="648" t="s">
        <v>317</v>
      </c>
      <c r="Q66" s="647">
        <v>173.6</v>
      </c>
      <c r="R66" s="658">
        <v>1.8</v>
      </c>
      <c r="S66" s="654">
        <f>Q66+R66*$P$47</f>
        <v>285.2</v>
      </c>
      <c r="Z66" s="2"/>
      <c r="AA66" s="163"/>
      <c r="AB66" s="163"/>
      <c r="AC66" s="163"/>
      <c r="AD66" s="163"/>
    </row>
    <row r="67" spans="13:30" ht="15" customHeight="1" thickBot="1" x14ac:dyDescent="0.25">
      <c r="M67" s="2"/>
      <c r="O67" s="163" t="s">
        <v>161</v>
      </c>
      <c r="P67" s="649" t="s">
        <v>319</v>
      </c>
      <c r="Q67" s="652">
        <v>185.6</v>
      </c>
      <c r="R67" s="644">
        <v>1.1333333329999999</v>
      </c>
      <c r="S67" s="661">
        <f>Q67+R67*$P$47</f>
        <v>255.866666646</v>
      </c>
      <c r="T67" s="657">
        <f>IF(P47&lt;30,S66,IF(P47&lt;45,S67,IF(P47&lt;55,S68,IF(P47&lt;65,S69,"Tempé&gt;35"))))</f>
        <v>281.10000000000002</v>
      </c>
      <c r="U67" s="2"/>
      <c r="V67" s="2"/>
      <c r="W67" s="2"/>
      <c r="Y67" s="2"/>
      <c r="Z67" s="2"/>
      <c r="AA67" s="163"/>
      <c r="AB67" s="163"/>
      <c r="AC67" s="163"/>
      <c r="AD67" s="163"/>
    </row>
    <row r="68" spans="13:30" ht="15" customHeight="1" x14ac:dyDescent="0.2">
      <c r="M68" s="2"/>
      <c r="O68"/>
      <c r="P68" s="649" t="s">
        <v>320</v>
      </c>
      <c r="Q68" s="652">
        <v>150.4</v>
      </c>
      <c r="R68" s="644">
        <v>2.2000000000000002</v>
      </c>
      <c r="S68" s="661">
        <f>Q68+R68*$P$47</f>
        <v>286.8</v>
      </c>
      <c r="U68" s="2"/>
      <c r="V68" s="2"/>
      <c r="W68" s="2"/>
      <c r="Y68" s="2"/>
      <c r="Z68" s="2"/>
      <c r="AA68" s="237"/>
      <c r="AB68" s="237"/>
      <c r="AC68" s="237"/>
      <c r="AD68" s="237"/>
    </row>
    <row r="69" spans="13:30" ht="15" customHeight="1" thickBot="1" x14ac:dyDescent="0.25">
      <c r="M69" s="2"/>
      <c r="O69"/>
      <c r="P69" s="650" t="s">
        <v>321</v>
      </c>
      <c r="Q69" s="653">
        <v>163.30000000000001</v>
      </c>
      <c r="R69" s="643">
        <v>1.9</v>
      </c>
      <c r="S69" s="662">
        <f>Q69+R69*$P$47</f>
        <v>281.10000000000002</v>
      </c>
      <c r="U69" s="2"/>
      <c r="V69" s="2"/>
      <c r="W69" s="2"/>
      <c r="Y69" s="2"/>
      <c r="Z69" s="2"/>
      <c r="AA69" s="21"/>
      <c r="AB69" s="21"/>
      <c r="AC69" s="21"/>
      <c r="AD69" s="21"/>
    </row>
    <row r="70" spans="13:30" ht="15" customHeight="1" thickBot="1" x14ac:dyDescent="0.25">
      <c r="M70" s="2"/>
      <c r="O70" s="2"/>
      <c r="P70" s="2"/>
      <c r="Q70" s="2"/>
      <c r="R70" s="2"/>
      <c r="S70" s="2"/>
      <c r="T70" s="2"/>
      <c r="U70" s="2"/>
      <c r="V70" s="2"/>
      <c r="W70" s="2"/>
      <c r="Y70" s="2"/>
      <c r="Z70" s="2"/>
      <c r="AA70" s="163"/>
      <c r="AB70" s="163"/>
      <c r="AC70" s="163"/>
      <c r="AD70" s="163"/>
    </row>
    <row r="71" spans="13:30" ht="15" customHeight="1" thickBot="1" x14ac:dyDescent="0.25">
      <c r="M71" s="2"/>
      <c r="O71" s="945" t="s">
        <v>169</v>
      </c>
      <c r="P71" s="946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</row>
    <row r="72" spans="13:30" ht="15" customHeight="1" thickBot="1" x14ac:dyDescent="0.25">
      <c r="M72" s="2"/>
      <c r="O72" s="4"/>
      <c r="P72" s="4" t="s">
        <v>156</v>
      </c>
      <c r="Q72" s="163"/>
      <c r="R72" s="163"/>
      <c r="S72" s="237" t="s">
        <v>159</v>
      </c>
      <c r="T72" s="163"/>
      <c r="U72" s="163"/>
      <c r="V72" s="237" t="s">
        <v>160</v>
      </c>
      <c r="W72" s="237"/>
      <c r="X72" s="237"/>
      <c r="Y72" s="237" t="s">
        <v>161</v>
      </c>
      <c r="Z72" s="163"/>
      <c r="AA72" s="163"/>
      <c r="AB72" s="163"/>
      <c r="AC72" s="163"/>
      <c r="AD72" s="163"/>
    </row>
    <row r="73" spans="13:30" ht="15" customHeight="1" x14ac:dyDescent="0.2">
      <c r="M73" s="2"/>
      <c r="O73" s="132" t="s">
        <v>31</v>
      </c>
      <c r="P73" s="244" t="s">
        <v>157</v>
      </c>
      <c r="Q73" s="238" t="s">
        <v>158</v>
      </c>
      <c r="R73" s="132" t="s">
        <v>31</v>
      </c>
      <c r="S73" s="244" t="s">
        <v>157</v>
      </c>
      <c r="T73" s="238" t="s">
        <v>158</v>
      </c>
      <c r="U73" s="132" t="s">
        <v>31</v>
      </c>
      <c r="V73" s="244" t="s">
        <v>157</v>
      </c>
      <c r="W73" s="238" t="s">
        <v>158</v>
      </c>
      <c r="X73" s="132" t="s">
        <v>31</v>
      </c>
      <c r="Y73" s="244" t="s">
        <v>157</v>
      </c>
      <c r="Z73" s="238" t="s">
        <v>158</v>
      </c>
      <c r="AA73" s="237"/>
      <c r="AB73" s="237"/>
      <c r="AC73" s="237"/>
      <c r="AD73" s="237"/>
    </row>
    <row r="74" spans="13:30" ht="15" customHeight="1" x14ac:dyDescent="0.2">
      <c r="M74" s="2"/>
      <c r="O74" s="148"/>
      <c r="P74" s="9"/>
      <c r="Q74" s="239"/>
      <c r="R74" s="148"/>
      <c r="S74" s="9"/>
      <c r="T74" s="239"/>
      <c r="U74" s="148"/>
      <c r="V74" s="9"/>
      <c r="W74" s="239"/>
      <c r="X74" s="212"/>
      <c r="Y74" s="9"/>
      <c r="Z74" s="239"/>
      <c r="AA74" s="21"/>
      <c r="AB74" s="21"/>
      <c r="AC74" s="21"/>
      <c r="AD74" s="21"/>
    </row>
    <row r="75" spans="13:30" ht="15" customHeight="1" x14ac:dyDescent="0.2">
      <c r="M75" s="2"/>
      <c r="O75" s="242">
        <v>-15</v>
      </c>
      <c r="P75" s="245">
        <f>O75+30</f>
        <v>15</v>
      </c>
      <c r="Q75" s="240">
        <v>74</v>
      </c>
      <c r="R75" s="242">
        <v>-19</v>
      </c>
      <c r="S75" s="245">
        <f>R75+30</f>
        <v>11</v>
      </c>
      <c r="T75" s="240">
        <v>100</v>
      </c>
      <c r="U75" s="242">
        <v>-23</v>
      </c>
      <c r="V75" s="245">
        <f>U75+30</f>
        <v>7</v>
      </c>
      <c r="W75" s="240">
        <v>122</v>
      </c>
      <c r="X75" s="242">
        <v>-27</v>
      </c>
      <c r="Y75" s="245">
        <f>X75+30</f>
        <v>3</v>
      </c>
      <c r="Z75" s="240">
        <v>140</v>
      </c>
      <c r="AA75" s="163"/>
      <c r="AB75" s="163"/>
      <c r="AC75" s="163"/>
      <c r="AD75" s="163"/>
    </row>
    <row r="76" spans="13:30" ht="15" customHeight="1" x14ac:dyDescent="0.2">
      <c r="M76" s="2"/>
      <c r="O76" s="242">
        <v>0</v>
      </c>
      <c r="P76" s="245">
        <f>O76+30</f>
        <v>30</v>
      </c>
      <c r="Q76" s="240">
        <v>86</v>
      </c>
      <c r="R76" s="242">
        <v>-4</v>
      </c>
      <c r="S76" s="245">
        <f>R76+30</f>
        <v>26</v>
      </c>
      <c r="T76" s="240">
        <v>107</v>
      </c>
      <c r="U76" s="242">
        <v>-8</v>
      </c>
      <c r="V76" s="245">
        <f>U76+30</f>
        <v>22</v>
      </c>
      <c r="W76" s="240">
        <v>132</v>
      </c>
      <c r="X76" s="242">
        <v>-12</v>
      </c>
      <c r="Y76" s="245">
        <f>X76+30</f>
        <v>18</v>
      </c>
      <c r="Z76" s="240">
        <v>160</v>
      </c>
      <c r="AA76" s="163"/>
      <c r="AB76" s="163"/>
      <c r="AC76" s="163"/>
      <c r="AD76" s="163"/>
    </row>
    <row r="77" spans="13:30" ht="15" customHeight="1" x14ac:dyDescent="0.2">
      <c r="O77" s="242">
        <v>15</v>
      </c>
      <c r="P77" s="245">
        <f>O77+30</f>
        <v>45</v>
      </c>
      <c r="Q77" s="240">
        <v>101</v>
      </c>
      <c r="R77" s="242">
        <v>11</v>
      </c>
      <c r="S77" s="245">
        <f>R77+30</f>
        <v>41</v>
      </c>
      <c r="T77" s="240">
        <v>117</v>
      </c>
      <c r="U77" s="242">
        <v>7</v>
      </c>
      <c r="V77" s="245">
        <f>U77+30</f>
        <v>37</v>
      </c>
      <c r="W77" s="240">
        <v>143</v>
      </c>
      <c r="X77" s="242">
        <v>3</v>
      </c>
      <c r="Y77" s="245">
        <f>X77+30</f>
        <v>33</v>
      </c>
      <c r="Z77" s="240">
        <v>172</v>
      </c>
      <c r="AA77" s="163"/>
      <c r="AB77" s="163"/>
      <c r="AC77" s="163"/>
      <c r="AD77" s="163"/>
    </row>
    <row r="78" spans="13:30" ht="15" customHeight="1" x14ac:dyDescent="0.2">
      <c r="O78" s="242">
        <v>25</v>
      </c>
      <c r="P78" s="245">
        <f>O78+30</f>
        <v>55</v>
      </c>
      <c r="Q78" s="240">
        <v>106</v>
      </c>
      <c r="R78" s="242">
        <v>21</v>
      </c>
      <c r="S78" s="245">
        <f>R78+30</f>
        <v>51</v>
      </c>
      <c r="T78" s="240">
        <v>126</v>
      </c>
      <c r="U78" s="242">
        <v>17</v>
      </c>
      <c r="V78" s="245">
        <f>U78+30</f>
        <v>47</v>
      </c>
      <c r="W78" s="240">
        <v>152</v>
      </c>
      <c r="X78" s="242">
        <v>13</v>
      </c>
      <c r="Y78" s="245">
        <f>X78+30</f>
        <v>43</v>
      </c>
      <c r="Z78" s="240">
        <v>192</v>
      </c>
      <c r="AA78" s="163"/>
      <c r="AB78" s="163"/>
      <c r="AC78" s="163"/>
      <c r="AD78" s="163"/>
    </row>
    <row r="79" spans="13:30" ht="15" customHeight="1" thickBot="1" x14ac:dyDescent="0.25">
      <c r="O79" s="243">
        <v>35</v>
      </c>
      <c r="P79" s="246">
        <f>O79+30</f>
        <v>65</v>
      </c>
      <c r="Q79" s="241">
        <v>112</v>
      </c>
      <c r="R79" s="243">
        <v>31</v>
      </c>
      <c r="S79" s="246">
        <f>R79+30</f>
        <v>61</v>
      </c>
      <c r="T79" s="241">
        <v>132</v>
      </c>
      <c r="U79" s="243">
        <v>27</v>
      </c>
      <c r="V79" s="246">
        <f>U79+30</f>
        <v>57</v>
      </c>
      <c r="W79" s="241">
        <v>163</v>
      </c>
      <c r="X79" s="243">
        <v>23</v>
      </c>
      <c r="Y79" s="246">
        <f>X79+30</f>
        <v>53</v>
      </c>
      <c r="Z79" s="241">
        <v>205</v>
      </c>
      <c r="AA79" s="163"/>
      <c r="AB79" s="163"/>
      <c r="AC79" s="163"/>
      <c r="AD79" s="163"/>
    </row>
    <row r="80" spans="13:30" ht="15" customHeight="1" thickBot="1" x14ac:dyDescent="0.25">
      <c r="O80" s="646"/>
      <c r="P80" s="163"/>
      <c r="Q80" s="163"/>
      <c r="R80" s="646"/>
      <c r="S80" s="163"/>
      <c r="T80" s="163"/>
      <c r="U80" s="646"/>
      <c r="V80" s="163"/>
      <c r="W80" s="163"/>
      <c r="X80" s="646"/>
      <c r="Y80" s="163"/>
      <c r="Z80" s="163"/>
      <c r="AA80" s="163"/>
      <c r="AB80" s="163"/>
      <c r="AC80" s="163"/>
      <c r="AD80" s="163"/>
    </row>
    <row r="81" spans="15:30" ht="15" customHeight="1" thickBot="1" x14ac:dyDescent="0.25">
      <c r="O81" s="651" t="s">
        <v>165</v>
      </c>
      <c r="P81" s="402">
        <f>H10+30</f>
        <v>62</v>
      </c>
      <c r="Q81" s="376" t="s">
        <v>172</v>
      </c>
      <c r="R81" s="377" t="s">
        <v>173</v>
      </c>
      <c r="S81" s="660" t="s">
        <v>318</v>
      </c>
      <c r="U81" s="2"/>
      <c r="W81" s="5" t="s">
        <v>171</v>
      </c>
      <c r="X81" s="1"/>
      <c r="Z81" s="163"/>
      <c r="AA81" s="163"/>
      <c r="AB81" s="163"/>
      <c r="AC81" s="163"/>
      <c r="AD81" s="163"/>
    </row>
    <row r="82" spans="15:30" ht="15" customHeight="1" thickBot="1" x14ac:dyDescent="0.25">
      <c r="O82"/>
      <c r="P82" s="648" t="s">
        <v>317</v>
      </c>
      <c r="Q82" s="647">
        <v>62</v>
      </c>
      <c r="R82" s="658">
        <v>0.8</v>
      </c>
      <c r="S82" s="654">
        <f>Q82+R82*$P$81</f>
        <v>111.6</v>
      </c>
      <c r="U82" s="2"/>
      <c r="V82" s="655" t="s">
        <v>181</v>
      </c>
      <c r="W82" s="656">
        <f>K9</f>
        <v>426</v>
      </c>
      <c r="X82" s="43" t="s">
        <v>323</v>
      </c>
      <c r="Y82" s="3">
        <f>((T89-T83)/2000)*W82</f>
        <v>4.7712000000000012</v>
      </c>
      <c r="Z82" s="163"/>
      <c r="AA82" s="163"/>
      <c r="AB82" s="163"/>
      <c r="AC82" s="163"/>
      <c r="AD82" s="163"/>
    </row>
    <row r="83" spans="15:30" ht="15" customHeight="1" thickBot="1" x14ac:dyDescent="0.25">
      <c r="O83" s="163" t="s">
        <v>156</v>
      </c>
      <c r="P83" s="649" t="s">
        <v>319</v>
      </c>
      <c r="Q83" s="652">
        <v>56</v>
      </c>
      <c r="R83" s="644">
        <v>1</v>
      </c>
      <c r="S83" s="661">
        <f>Q83+R83*$P$81</f>
        <v>118</v>
      </c>
      <c r="T83" s="657">
        <f>IF(P81&lt;30,S82,IF(P81&lt;45,S83,IF(P81&lt;55,S84,IF(P81&lt;65,S85,"Tempé&gt;35"))))</f>
        <v>110.19999999999999</v>
      </c>
      <c r="U83" s="2"/>
      <c r="W83" s="655">
        <f>IF(W82&lt;2000,T83+Y82,IF(W82&lt;4000,T89+Y84,IF(W82&lt;6000,T95+Y86,"Zp &gt; 6000")))</f>
        <v>114.9712</v>
      </c>
      <c r="X83" s="1"/>
      <c r="Z83" s="163"/>
      <c r="AA83" s="163"/>
      <c r="AB83" s="163"/>
      <c r="AC83" s="163"/>
      <c r="AD83" s="163"/>
    </row>
    <row r="84" spans="15:30" ht="15" customHeight="1" x14ac:dyDescent="0.2">
      <c r="O84"/>
      <c r="P84" s="649" t="s">
        <v>320</v>
      </c>
      <c r="Q84" s="652">
        <v>78.5</v>
      </c>
      <c r="R84" s="644">
        <v>0.5</v>
      </c>
      <c r="S84" s="661">
        <f>Q84+R84*$P$81</f>
        <v>109.5</v>
      </c>
      <c r="U84"/>
      <c r="X84" s="43" t="s">
        <v>324</v>
      </c>
      <c r="Y84" s="3">
        <f>((T95-T89)/2000)*(W82-2000)</f>
        <v>-28.253300000000007</v>
      </c>
      <c r="Z84" s="163"/>
      <c r="AA84" s="163"/>
      <c r="AB84" s="163"/>
      <c r="AC84" s="163"/>
      <c r="AD84" s="163"/>
    </row>
    <row r="85" spans="15:30" ht="15" customHeight="1" thickBot="1" x14ac:dyDescent="0.25">
      <c r="O85"/>
      <c r="P85" s="650" t="s">
        <v>321</v>
      </c>
      <c r="Q85" s="653">
        <v>73</v>
      </c>
      <c r="R85" s="643">
        <v>0.6</v>
      </c>
      <c r="S85" s="662">
        <f>Q85+R85*$P$81</f>
        <v>110.19999999999999</v>
      </c>
      <c r="U85"/>
      <c r="X85" s="1"/>
      <c r="Z85" s="163"/>
      <c r="AA85" s="163"/>
      <c r="AB85" s="163"/>
      <c r="AC85" s="163"/>
      <c r="AD85" s="163"/>
    </row>
    <row r="86" spans="15:30" ht="15" customHeight="1" thickBot="1" x14ac:dyDescent="0.25">
      <c r="O86"/>
      <c r="P86"/>
      <c r="Q86"/>
      <c r="T86" s="1" t="s">
        <v>4</v>
      </c>
      <c r="U86"/>
      <c r="X86" s="43" t="s">
        <v>325</v>
      </c>
      <c r="Y86" s="3">
        <f>((T101-T95)/2000)*(W82-4000)</f>
        <v>-86.13339999999998</v>
      </c>
      <c r="Z86" s="163"/>
      <c r="AA86" s="163"/>
      <c r="AB86" s="163"/>
      <c r="AC86" s="163"/>
      <c r="AD86" s="163"/>
    </row>
    <row r="87" spans="15:30" ht="15" customHeight="1" thickBot="1" x14ac:dyDescent="0.25">
      <c r="O87"/>
      <c r="P87"/>
      <c r="Q87" s="376" t="s">
        <v>172</v>
      </c>
      <c r="R87" s="377" t="s">
        <v>173</v>
      </c>
      <c r="S87" s="660" t="s">
        <v>318</v>
      </c>
      <c r="U87" s="2"/>
      <c r="V87" s="2"/>
      <c r="W87" s="2"/>
      <c r="Y87" s="2" t="s">
        <v>4</v>
      </c>
      <c r="Z87" s="163"/>
      <c r="AA87" s="163"/>
      <c r="AB87" s="163"/>
      <c r="AC87" s="163"/>
      <c r="AD87" s="163"/>
    </row>
    <row r="88" spans="15:30" ht="15" customHeight="1" thickBot="1" x14ac:dyDescent="0.25">
      <c r="O88"/>
      <c r="P88" s="648" t="s">
        <v>317</v>
      </c>
      <c r="Q88" s="647">
        <v>94.866666670000001</v>
      </c>
      <c r="R88" s="658">
        <v>0.46666666670000001</v>
      </c>
      <c r="S88" s="654">
        <f>Q88+R88*$P$81</f>
        <v>123.80000000539999</v>
      </c>
      <c r="U88" s="2"/>
      <c r="V88" s="2"/>
      <c r="W88" s="2"/>
      <c r="Y88" s="2"/>
      <c r="Z88" s="163"/>
      <c r="AA88" s="163"/>
      <c r="AB88" s="163"/>
      <c r="AC88" s="163"/>
      <c r="AD88" s="163"/>
    </row>
    <row r="89" spans="15:30" ht="15" customHeight="1" thickBot="1" x14ac:dyDescent="0.25">
      <c r="O89" s="163" t="s">
        <v>322</v>
      </c>
      <c r="P89" s="649" t="s">
        <v>319</v>
      </c>
      <c r="Q89" s="652">
        <v>89.666666669999998</v>
      </c>
      <c r="R89" s="644">
        <v>0.66666666669999997</v>
      </c>
      <c r="S89" s="661">
        <f>Q89+R89*$P$81</f>
        <v>131.00000000540001</v>
      </c>
      <c r="T89" s="657">
        <f>IF(P81&lt;30,S88,IF(P81&lt;45,S89,IF(P81&lt;55,S90,IF(P81&lt;65,S91,"Tempé&gt;35"))))</f>
        <v>132.6</v>
      </c>
      <c r="U89" s="2"/>
      <c r="V89" s="2"/>
      <c r="W89" s="2"/>
      <c r="Y89" s="2"/>
      <c r="Z89" s="163"/>
      <c r="AA89" s="163"/>
      <c r="AB89" s="163"/>
      <c r="AC89" s="163"/>
      <c r="AD89" s="163"/>
    </row>
    <row r="90" spans="15:30" ht="15" customHeight="1" x14ac:dyDescent="0.2">
      <c r="O90"/>
      <c r="P90" s="649" t="s">
        <v>320</v>
      </c>
      <c r="Q90" s="652">
        <v>80.099999999999994</v>
      </c>
      <c r="R90" s="644">
        <v>0.9</v>
      </c>
      <c r="S90" s="661">
        <f>Q90+R90*$P$81</f>
        <v>135.9</v>
      </c>
      <c r="U90" s="2"/>
      <c r="V90" s="2"/>
      <c r="W90" s="2"/>
      <c r="Y90" s="2"/>
      <c r="Z90" s="163"/>
      <c r="AA90" s="163"/>
      <c r="AB90" s="163"/>
      <c r="AC90" s="163"/>
      <c r="AD90" s="163"/>
    </row>
    <row r="91" spans="15:30" ht="15" customHeight="1" thickBot="1" x14ac:dyDescent="0.25">
      <c r="O91"/>
      <c r="P91" s="650" t="s">
        <v>321</v>
      </c>
      <c r="Q91" s="653">
        <v>95.4</v>
      </c>
      <c r="R91" s="643">
        <v>0.6</v>
      </c>
      <c r="S91" s="662">
        <f>Q91+R91*$P$81</f>
        <v>132.6</v>
      </c>
      <c r="U91" s="2"/>
      <c r="V91" s="2"/>
      <c r="W91" s="2"/>
      <c r="Y91" s="2"/>
      <c r="Z91" s="163"/>
      <c r="AA91" s="163"/>
      <c r="AB91" s="163"/>
      <c r="AC91" s="163"/>
      <c r="AD91" s="163"/>
    </row>
    <row r="92" spans="15:30" ht="15" customHeight="1" thickBot="1" x14ac:dyDescent="0.25">
      <c r="O92"/>
      <c r="P92"/>
      <c r="Q92"/>
      <c r="U92" s="2"/>
      <c r="V92" s="2"/>
      <c r="W92" s="2"/>
      <c r="Y92" s="2"/>
      <c r="Z92" s="163"/>
      <c r="AA92" s="163"/>
      <c r="AB92" s="163"/>
      <c r="AC92" s="163"/>
      <c r="AD92" s="163"/>
    </row>
    <row r="93" spans="15:30" ht="15" customHeight="1" thickBot="1" x14ac:dyDescent="0.25">
      <c r="O93"/>
      <c r="P93"/>
      <c r="Q93" s="376" t="s">
        <v>172</v>
      </c>
      <c r="R93" s="377" t="s">
        <v>173</v>
      </c>
      <c r="S93" s="660" t="s">
        <v>318</v>
      </c>
      <c r="U93" s="2"/>
      <c r="V93" s="2"/>
      <c r="W93" s="2"/>
      <c r="Y93" s="2"/>
      <c r="Z93" s="163"/>
      <c r="AA93" s="163"/>
      <c r="AB93" s="163"/>
      <c r="AC93" s="163"/>
      <c r="AD93" s="163"/>
    </row>
    <row r="94" spans="15:30" ht="15" customHeight="1" thickBot="1" x14ac:dyDescent="0.25">
      <c r="O94"/>
      <c r="P94" s="648" t="s">
        <v>317</v>
      </c>
      <c r="Q94" s="647">
        <v>117.33333330000001</v>
      </c>
      <c r="R94" s="658">
        <v>0.66666666669999997</v>
      </c>
      <c r="S94" s="654">
        <f>Q94+R94*$P$81</f>
        <v>158.66666663540002</v>
      </c>
      <c r="U94" s="2"/>
      <c r="V94" s="2"/>
      <c r="W94" s="2"/>
      <c r="Y94" s="2"/>
      <c r="Z94" s="163"/>
      <c r="AA94" s="163"/>
      <c r="AB94" s="163"/>
      <c r="AC94" s="163"/>
      <c r="AD94" s="163"/>
    </row>
    <row r="95" spans="15:30" ht="15" customHeight="1" thickBot="1" x14ac:dyDescent="0.25">
      <c r="O95" s="163" t="s">
        <v>160</v>
      </c>
      <c r="P95" s="649" t="s">
        <v>319</v>
      </c>
      <c r="Q95" s="652">
        <v>115.8666667</v>
      </c>
      <c r="R95" s="644">
        <v>0.73333333329999995</v>
      </c>
      <c r="S95" s="661">
        <f>Q95+R95*$P$81</f>
        <v>161.33333336459998</v>
      </c>
      <c r="T95" s="657">
        <f>IF(P81&lt;30,S94,IF(P81&lt;45,S95,IF(P81&lt;55,S96,IF(P81&lt;65,S97,"Tempé&gt;35"))))</f>
        <v>168.5</v>
      </c>
      <c r="U95" s="2"/>
      <c r="V95" s="2"/>
      <c r="W95" s="2"/>
      <c r="Y95" s="2"/>
      <c r="Z95" s="163"/>
      <c r="AA95" s="163"/>
      <c r="AB95" s="163"/>
      <c r="AC95" s="163"/>
      <c r="AD95" s="163"/>
    </row>
    <row r="96" spans="15:30" ht="15" customHeight="1" x14ac:dyDescent="0.2">
      <c r="O96"/>
      <c r="P96" s="649" t="s">
        <v>320</v>
      </c>
      <c r="Q96" s="652">
        <v>109.7</v>
      </c>
      <c r="R96" s="644">
        <v>0.9</v>
      </c>
      <c r="S96" s="661">
        <f>Q96+R96*$P$81</f>
        <v>165.5</v>
      </c>
      <c r="U96" s="21"/>
      <c r="V96" s="21"/>
      <c r="W96" s="16"/>
      <c r="X96" s="5"/>
      <c r="Y96" s="16"/>
      <c r="Z96" s="163"/>
      <c r="AA96" s="163"/>
      <c r="AB96" s="163"/>
      <c r="AC96" s="163"/>
      <c r="AD96" s="163"/>
    </row>
    <row r="97" spans="13:30" ht="15" customHeight="1" thickBot="1" x14ac:dyDescent="0.25">
      <c r="O97"/>
      <c r="P97" s="650" t="s">
        <v>321</v>
      </c>
      <c r="Q97" s="653">
        <v>100.3</v>
      </c>
      <c r="R97" s="643">
        <v>1.1000000000000001</v>
      </c>
      <c r="S97" s="662">
        <f>Q97+R97*$P$81</f>
        <v>168.5</v>
      </c>
      <c r="U97" s="2"/>
      <c r="V97" s="2"/>
      <c r="W97" s="2"/>
      <c r="Y97" s="2"/>
      <c r="Z97" s="163"/>
      <c r="AA97" s="163"/>
      <c r="AB97" s="163"/>
      <c r="AC97" s="163"/>
      <c r="AD97" s="163"/>
    </row>
    <row r="98" spans="13:30" ht="15" customHeight="1" thickBot="1" x14ac:dyDescent="0.25">
      <c r="O98"/>
      <c r="P98"/>
      <c r="Q98"/>
      <c r="U98" s="2"/>
      <c r="V98" s="2"/>
      <c r="W98" s="2"/>
      <c r="Y98" s="2"/>
      <c r="Z98" s="163"/>
      <c r="AA98" s="163"/>
      <c r="AB98" s="163"/>
      <c r="AC98" s="163"/>
      <c r="AD98" s="163"/>
    </row>
    <row r="99" spans="13:30" ht="15" customHeight="1" thickBot="1" x14ac:dyDescent="0.25">
      <c r="O99"/>
      <c r="P99"/>
      <c r="Q99" s="376" t="s">
        <v>172</v>
      </c>
      <c r="R99" s="377" t="s">
        <v>173</v>
      </c>
      <c r="S99" s="660" t="s">
        <v>318</v>
      </c>
      <c r="U99" s="2"/>
      <c r="V99" s="2"/>
      <c r="W99" s="2"/>
      <c r="Y99" s="2"/>
      <c r="Z99" s="163"/>
      <c r="AA99" s="163"/>
      <c r="AB99" s="163"/>
      <c r="AC99" s="163"/>
      <c r="AD99" s="163"/>
    </row>
    <row r="100" spans="13:30" ht="15" customHeight="1" thickBot="1" x14ac:dyDescent="0.25">
      <c r="O100"/>
      <c r="P100" s="648" t="s">
        <v>317</v>
      </c>
      <c r="Q100" s="647">
        <v>136</v>
      </c>
      <c r="R100" s="658">
        <v>1.3333333329999999</v>
      </c>
      <c r="S100" s="654">
        <f>Q100+R100*$P$81</f>
        <v>218.66666664600001</v>
      </c>
      <c r="Z100" s="163"/>
      <c r="AA100" s="163"/>
      <c r="AB100" s="163"/>
      <c r="AC100" s="163"/>
      <c r="AD100" s="163"/>
    </row>
    <row r="101" spans="13:30" ht="15" customHeight="1" thickBot="1" x14ac:dyDescent="0.25">
      <c r="O101" s="163" t="s">
        <v>161</v>
      </c>
      <c r="P101" s="649" t="s">
        <v>319</v>
      </c>
      <c r="Q101" s="652">
        <v>145.6</v>
      </c>
      <c r="R101" s="644">
        <v>0.8</v>
      </c>
      <c r="S101" s="661">
        <f>Q101+R101*$P$81</f>
        <v>195.2</v>
      </c>
      <c r="T101" s="657">
        <f>IF(P81&lt;30,S100,IF(P81&lt;45,S101,IF(P81&lt;55,S102,IF(P81&lt;65,S103,"Tempé&gt;35"))))</f>
        <v>216.7</v>
      </c>
      <c r="U101" s="2"/>
      <c r="V101" s="2"/>
      <c r="W101" s="2"/>
      <c r="Y101" s="2"/>
      <c r="Z101" s="163"/>
      <c r="AA101" s="163"/>
      <c r="AB101" s="163"/>
      <c r="AC101" s="163"/>
      <c r="AD101" s="163"/>
    </row>
    <row r="102" spans="13:30" ht="15" customHeight="1" x14ac:dyDescent="0.2">
      <c r="O102"/>
      <c r="P102" s="649" t="s">
        <v>320</v>
      </c>
      <c r="Q102" s="652">
        <v>106</v>
      </c>
      <c r="R102" s="644">
        <v>2</v>
      </c>
      <c r="S102" s="661">
        <f>Q102+R102*$P$81</f>
        <v>230</v>
      </c>
      <c r="U102" s="2"/>
      <c r="V102" s="2"/>
      <c r="W102" s="2"/>
      <c r="Y102" s="2"/>
      <c r="Z102" s="163"/>
      <c r="AA102" s="163"/>
      <c r="AB102" s="163"/>
      <c r="AC102" s="163"/>
      <c r="AD102" s="163"/>
    </row>
    <row r="103" spans="13:30" ht="15" customHeight="1" thickBot="1" x14ac:dyDescent="0.25">
      <c r="O103"/>
      <c r="P103" s="650" t="s">
        <v>321</v>
      </c>
      <c r="Q103" s="653">
        <v>136.1</v>
      </c>
      <c r="R103" s="643">
        <v>1.3</v>
      </c>
      <c r="S103" s="662">
        <f>Q103+R103*$P$81</f>
        <v>216.7</v>
      </c>
      <c r="U103" s="2"/>
      <c r="V103" s="2"/>
      <c r="W103" s="2"/>
      <c r="Y103" s="2"/>
      <c r="Z103" s="163"/>
      <c r="AA103" s="163"/>
      <c r="AB103" s="163"/>
      <c r="AC103" s="163"/>
      <c r="AD103" s="163"/>
    </row>
    <row r="104" spans="13:30" ht="15" customHeight="1" thickBot="1" x14ac:dyDescent="0.25">
      <c r="O104" s="2"/>
      <c r="P104" s="2"/>
      <c r="Q104" s="2"/>
      <c r="R104" s="2"/>
      <c r="S104" s="2"/>
      <c r="T104" s="2"/>
      <c r="U104" s="2"/>
      <c r="V104" s="2"/>
      <c r="W104" s="2"/>
    </row>
    <row r="105" spans="13:30" ht="15" customHeight="1" thickBot="1" x14ac:dyDescent="0.25">
      <c r="M105" s="2"/>
      <c r="O105" s="666" t="s">
        <v>12</v>
      </c>
      <c r="P105" s="2"/>
      <c r="Q105" s="2"/>
      <c r="R105" s="2"/>
      <c r="S105" s="2"/>
      <c r="T105" s="2"/>
      <c r="U105" s="2"/>
      <c r="V105" s="2"/>
      <c r="W105" s="2"/>
    </row>
    <row r="106" spans="13:30" ht="15" customHeight="1" thickBot="1" x14ac:dyDescent="0.25">
      <c r="M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3:30" ht="15" customHeight="1" thickBot="1" x14ac:dyDescent="0.25">
      <c r="M107" s="2"/>
      <c r="O107" s="945" t="s">
        <v>167</v>
      </c>
      <c r="P107" s="946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</row>
    <row r="108" spans="13:30" ht="15" customHeight="1" thickBot="1" x14ac:dyDescent="0.25">
      <c r="M108" s="2"/>
      <c r="O108" s="4"/>
      <c r="P108" s="4" t="s">
        <v>156</v>
      </c>
      <c r="Q108" s="163"/>
      <c r="R108" s="163"/>
      <c r="S108" s="237" t="s">
        <v>159</v>
      </c>
      <c r="T108" s="163"/>
      <c r="U108" s="163"/>
      <c r="V108" s="237" t="s">
        <v>160</v>
      </c>
      <c r="W108" s="237"/>
      <c r="X108" s="237"/>
      <c r="Y108" s="237" t="s">
        <v>161</v>
      </c>
      <c r="Z108" s="163"/>
    </row>
    <row r="109" spans="13:30" ht="15" customHeight="1" x14ac:dyDescent="0.2">
      <c r="M109" s="2"/>
      <c r="O109" s="132" t="s">
        <v>31</v>
      </c>
      <c r="P109" s="244" t="s">
        <v>157</v>
      </c>
      <c r="Q109" s="238" t="s">
        <v>158</v>
      </c>
      <c r="R109" s="132" t="s">
        <v>31</v>
      </c>
      <c r="S109" s="244" t="s">
        <v>157</v>
      </c>
      <c r="T109" s="238" t="s">
        <v>158</v>
      </c>
      <c r="U109" s="132" t="s">
        <v>31</v>
      </c>
      <c r="V109" s="244" t="s">
        <v>157</v>
      </c>
      <c r="W109" s="238" t="s">
        <v>158</v>
      </c>
      <c r="X109" s="132" t="s">
        <v>31</v>
      </c>
      <c r="Y109" s="244" t="s">
        <v>157</v>
      </c>
      <c r="Z109" s="238" t="s">
        <v>158</v>
      </c>
    </row>
    <row r="110" spans="13:30" ht="15" customHeight="1" x14ac:dyDescent="0.2">
      <c r="M110" s="2"/>
      <c r="O110" s="148"/>
      <c r="P110" s="9"/>
      <c r="Q110" s="239"/>
      <c r="R110" s="148"/>
      <c r="S110" s="9"/>
      <c r="T110" s="239"/>
      <c r="U110" s="148"/>
      <c r="V110" s="9"/>
      <c r="W110" s="239"/>
      <c r="X110" s="212"/>
      <c r="Y110" s="9"/>
      <c r="Z110" s="239"/>
    </row>
    <row r="111" spans="13:30" ht="15" customHeight="1" x14ac:dyDescent="0.2">
      <c r="M111" s="2"/>
      <c r="N111" s="2">
        <v>1</v>
      </c>
      <c r="O111" s="242">
        <v>-15</v>
      </c>
      <c r="P111" s="245">
        <f>O111+30</f>
        <v>15</v>
      </c>
      <c r="Q111" s="240">
        <v>265</v>
      </c>
      <c r="R111" s="242">
        <v>-19</v>
      </c>
      <c r="S111" s="245">
        <f>R111+30</f>
        <v>11</v>
      </c>
      <c r="T111" s="240">
        <v>350</v>
      </c>
      <c r="U111" s="242">
        <v>-23</v>
      </c>
      <c r="V111" s="245">
        <f>U111+30</f>
        <v>7</v>
      </c>
      <c r="W111" s="240">
        <v>390</v>
      </c>
      <c r="X111" s="242">
        <v>-27</v>
      </c>
      <c r="Y111" s="245">
        <f>X111+30</f>
        <v>3</v>
      </c>
      <c r="Z111" s="240">
        <v>500</v>
      </c>
    </row>
    <row r="112" spans="13:30" ht="15" customHeight="1" x14ac:dyDescent="0.2">
      <c r="M112" s="2"/>
      <c r="N112" s="2">
        <v>2</v>
      </c>
      <c r="O112" s="242">
        <v>0</v>
      </c>
      <c r="P112" s="245">
        <f>O112+30</f>
        <v>30</v>
      </c>
      <c r="Q112" s="240">
        <v>298</v>
      </c>
      <c r="R112" s="242">
        <v>-4</v>
      </c>
      <c r="S112" s="245">
        <f>R112+30</f>
        <v>26</v>
      </c>
      <c r="T112" s="240">
        <v>377</v>
      </c>
      <c r="U112" s="242">
        <v>-8</v>
      </c>
      <c r="V112" s="245">
        <f>U112+30</f>
        <v>22</v>
      </c>
      <c r="W112" s="240">
        <v>429</v>
      </c>
      <c r="X112" s="242">
        <v>-12</v>
      </c>
      <c r="Y112" s="245">
        <f>X112+30</f>
        <v>18</v>
      </c>
      <c r="Z112" s="240">
        <v>546</v>
      </c>
    </row>
    <row r="113" spans="12:37" ht="15" customHeight="1" x14ac:dyDescent="0.2">
      <c r="M113" s="2"/>
      <c r="N113" s="2">
        <v>3</v>
      </c>
      <c r="O113" s="242">
        <v>15</v>
      </c>
      <c r="P113" s="245">
        <f>O113+30</f>
        <v>45</v>
      </c>
      <c r="Q113" s="240">
        <v>331</v>
      </c>
      <c r="R113" s="242">
        <v>11</v>
      </c>
      <c r="S113" s="245">
        <f>R113+30</f>
        <v>41</v>
      </c>
      <c r="T113" s="240">
        <v>404</v>
      </c>
      <c r="U113" s="242">
        <v>7</v>
      </c>
      <c r="V113" s="245">
        <f>U113+30</f>
        <v>37</v>
      </c>
      <c r="W113" s="240">
        <v>468</v>
      </c>
      <c r="X113" s="242">
        <v>3</v>
      </c>
      <c r="Y113" s="245">
        <f>X113+30</f>
        <v>33</v>
      </c>
      <c r="Z113" s="240">
        <v>593</v>
      </c>
      <c r="AA113" s="163"/>
      <c r="AB113" s="163"/>
      <c r="AC113" s="163"/>
      <c r="AD113" s="163"/>
    </row>
    <row r="114" spans="12:37" ht="15" customHeight="1" x14ac:dyDescent="0.2">
      <c r="M114" s="2"/>
      <c r="N114" s="2">
        <v>4</v>
      </c>
      <c r="O114" s="242">
        <v>25</v>
      </c>
      <c r="P114" s="245">
        <f>O114+30</f>
        <v>55</v>
      </c>
      <c r="Q114" s="240">
        <v>353</v>
      </c>
      <c r="R114" s="242">
        <v>21</v>
      </c>
      <c r="S114" s="245">
        <f>R114+30</f>
        <v>51</v>
      </c>
      <c r="T114" s="240">
        <v>422</v>
      </c>
      <c r="U114" s="242">
        <v>17</v>
      </c>
      <c r="V114" s="245">
        <f>U114+30</f>
        <v>47</v>
      </c>
      <c r="W114" s="240">
        <v>494</v>
      </c>
      <c r="X114" s="242">
        <v>13</v>
      </c>
      <c r="Y114" s="245">
        <f>X114+30</f>
        <v>43</v>
      </c>
      <c r="Z114" s="240">
        <v>624</v>
      </c>
      <c r="AA114" s="163"/>
      <c r="AB114" s="163"/>
      <c r="AC114" s="163"/>
      <c r="AD114" s="163"/>
    </row>
    <row r="115" spans="12:37" ht="15" customHeight="1" thickBot="1" x14ac:dyDescent="0.25">
      <c r="M115" s="2"/>
      <c r="N115" s="2">
        <v>5</v>
      </c>
      <c r="O115" s="243">
        <v>35</v>
      </c>
      <c r="P115" s="669">
        <f>O115+30</f>
        <v>65</v>
      </c>
      <c r="Q115" s="670">
        <v>375</v>
      </c>
      <c r="R115" s="243">
        <v>31</v>
      </c>
      <c r="S115" s="669">
        <f>R115+30</f>
        <v>61</v>
      </c>
      <c r="T115" s="670">
        <v>440</v>
      </c>
      <c r="U115" s="243">
        <v>27</v>
      </c>
      <c r="V115" s="669">
        <f>U115+30</f>
        <v>57</v>
      </c>
      <c r="W115" s="670">
        <v>520</v>
      </c>
      <c r="X115" s="243">
        <v>23</v>
      </c>
      <c r="Y115" s="669">
        <f>X115+30</f>
        <v>53</v>
      </c>
      <c r="Z115" s="670">
        <v>655</v>
      </c>
      <c r="AA115" s="2"/>
      <c r="AB115" s="2"/>
      <c r="AC115" s="2"/>
      <c r="AD115" s="2"/>
      <c r="AE115" s="2"/>
      <c r="AF115" s="2"/>
      <c r="AG115" s="2"/>
      <c r="AH115" s="2"/>
    </row>
    <row r="116" spans="12:37" ht="15" customHeight="1" x14ac:dyDescent="0.2">
      <c r="M116" s="2"/>
      <c r="O116" s="646"/>
      <c r="P116" s="671" t="s">
        <v>172</v>
      </c>
      <c r="Q116" s="672">
        <v>232</v>
      </c>
      <c r="R116" s="646"/>
      <c r="S116" s="671" t="s">
        <v>172</v>
      </c>
      <c r="T116" s="672">
        <v>330.2</v>
      </c>
      <c r="U116" s="646"/>
      <c r="V116" s="671" t="s">
        <v>172</v>
      </c>
      <c r="W116" s="672">
        <v>371.8</v>
      </c>
      <c r="X116" s="646"/>
      <c r="Y116" s="671" t="s">
        <v>172</v>
      </c>
      <c r="Z116" s="672">
        <v>490.7</v>
      </c>
      <c r="AA116" s="2"/>
      <c r="AB116" s="2"/>
      <c r="AC116" s="2"/>
      <c r="AD116" s="2"/>
      <c r="AE116" s="2"/>
      <c r="AF116" s="2"/>
      <c r="AG116" s="2"/>
      <c r="AH116" s="2"/>
    </row>
    <row r="117" spans="12:37" ht="15" customHeight="1" thickBot="1" x14ac:dyDescent="0.25">
      <c r="M117" s="2"/>
      <c r="O117" s="646"/>
      <c r="P117" s="674" t="s">
        <v>173</v>
      </c>
      <c r="Q117" s="670">
        <v>2.2000000000000002</v>
      </c>
      <c r="R117" s="646"/>
      <c r="S117" s="674" t="s">
        <v>173</v>
      </c>
      <c r="T117" s="670">
        <v>1.8</v>
      </c>
      <c r="U117" s="646"/>
      <c r="V117" s="674" t="s">
        <v>173</v>
      </c>
      <c r="W117" s="670">
        <v>2.6</v>
      </c>
      <c r="X117" s="646"/>
      <c r="Y117" s="674" t="s">
        <v>173</v>
      </c>
      <c r="Z117" s="670">
        <v>3.1</v>
      </c>
      <c r="AA117" s="2"/>
      <c r="AB117" s="2"/>
      <c r="AC117" s="2"/>
      <c r="AD117" s="2"/>
      <c r="AE117" s="2"/>
      <c r="AF117" s="2"/>
      <c r="AG117" s="2"/>
      <c r="AH117" s="2"/>
    </row>
    <row r="118" spans="12:37" ht="15" customHeight="1" thickBot="1" x14ac:dyDescent="0.25">
      <c r="M118" s="2"/>
      <c r="O118" s="651" t="s">
        <v>165</v>
      </c>
      <c r="P118" s="612" t="s">
        <v>329</v>
      </c>
      <c r="Q118" s="651">
        <f>Q116+Q117*P119</f>
        <v>368.4</v>
      </c>
      <c r="R118" s="646"/>
      <c r="S118" s="675" t="s">
        <v>329</v>
      </c>
      <c r="T118" s="651">
        <f>T116+T117*P119</f>
        <v>441.8</v>
      </c>
      <c r="U118" s="646"/>
      <c r="V118" s="675" t="s">
        <v>329</v>
      </c>
      <c r="W118" s="651">
        <f>W116+W117*P119</f>
        <v>533</v>
      </c>
      <c r="X118" s="646"/>
      <c r="Y118" s="675" t="s">
        <v>329</v>
      </c>
      <c r="Z118" s="651">
        <f>Z116+Z117*P119</f>
        <v>682.9</v>
      </c>
      <c r="AA118" s="2"/>
      <c r="AB118" s="2"/>
      <c r="AC118" s="2"/>
      <c r="AD118" s="2"/>
      <c r="AE118" s="2"/>
      <c r="AF118" s="2"/>
      <c r="AG118" s="2"/>
      <c r="AH118" s="2"/>
    </row>
    <row r="119" spans="12:37" ht="15" customHeight="1" thickBot="1" x14ac:dyDescent="0.25">
      <c r="M119" s="2"/>
      <c r="O119" s="645" t="s">
        <v>31</v>
      </c>
      <c r="P119" s="402">
        <f>H10+30</f>
        <v>62</v>
      </c>
      <c r="Q119" s="2"/>
      <c r="R119" s="2"/>
      <c r="S119" s="2"/>
      <c r="T119" s="2"/>
      <c r="U119" s="2"/>
      <c r="V119" s="2"/>
      <c r="W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2:37" ht="15" customHeight="1" x14ac:dyDescent="0.2">
      <c r="M120" s="2"/>
      <c r="O120" s="2"/>
      <c r="P120" s="2" t="s">
        <v>4</v>
      </c>
      <c r="Q120" s="2"/>
      <c r="R120" s="2"/>
      <c r="S120" s="2"/>
      <c r="T120" s="2"/>
      <c r="U120" s="2"/>
      <c r="V120" s="2"/>
      <c r="W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2:37" ht="14.25" customHeight="1" thickBot="1" x14ac:dyDescent="0.25">
      <c r="L121" s="1" t="s">
        <v>4</v>
      </c>
      <c r="M121" s="2"/>
      <c r="O121" s="2"/>
      <c r="P121" s="2"/>
      <c r="Q121" s="2"/>
      <c r="R121" s="2"/>
      <c r="S121" s="2"/>
      <c r="T121" s="2"/>
      <c r="U121" s="2"/>
      <c r="V121" s="2"/>
      <c r="W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K121" s="43"/>
    </row>
    <row r="122" spans="12:37" ht="14.25" customHeight="1" thickBot="1" x14ac:dyDescent="0.25">
      <c r="M122" s="2"/>
      <c r="O122" s="945" t="s">
        <v>168</v>
      </c>
      <c r="P122" s="946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2"/>
      <c r="AB122" s="2"/>
      <c r="AC122" s="2"/>
      <c r="AD122" s="2"/>
      <c r="AE122" s="2"/>
      <c r="AF122" s="2"/>
      <c r="AG122" s="2"/>
      <c r="AH122" s="2"/>
    </row>
    <row r="123" spans="12:37" ht="14.25" customHeight="1" thickBot="1" x14ac:dyDescent="0.25">
      <c r="M123" s="2"/>
      <c r="O123" s="4"/>
      <c r="P123" s="4" t="s">
        <v>156</v>
      </c>
      <c r="Q123" s="163"/>
      <c r="R123" s="163"/>
      <c r="S123" s="237" t="s">
        <v>159</v>
      </c>
      <c r="T123" s="163"/>
      <c r="U123" s="163"/>
      <c r="V123" s="237" t="s">
        <v>160</v>
      </c>
      <c r="W123" s="237"/>
      <c r="X123" s="237"/>
      <c r="Y123" s="237" t="s">
        <v>161</v>
      </c>
      <c r="Z123" s="163"/>
      <c r="AA123" s="2"/>
      <c r="AB123" s="2"/>
      <c r="AC123" s="2"/>
      <c r="AD123" s="2"/>
      <c r="AE123" s="2"/>
      <c r="AF123" s="2"/>
      <c r="AG123" s="2"/>
      <c r="AH123" s="2"/>
    </row>
    <row r="124" spans="12:37" ht="14.25" customHeight="1" x14ac:dyDescent="0.2">
      <c r="M124" s="2"/>
      <c r="O124" s="132" t="s">
        <v>31</v>
      </c>
      <c r="P124" s="244" t="s">
        <v>157</v>
      </c>
      <c r="Q124" s="238" t="s">
        <v>158</v>
      </c>
      <c r="R124" s="132" t="s">
        <v>31</v>
      </c>
      <c r="S124" s="244" t="s">
        <v>157</v>
      </c>
      <c r="T124" s="238" t="s">
        <v>158</v>
      </c>
      <c r="U124" s="132" t="s">
        <v>31</v>
      </c>
      <c r="V124" s="244" t="s">
        <v>157</v>
      </c>
      <c r="W124" s="238" t="s">
        <v>158</v>
      </c>
      <c r="X124" s="132" t="s">
        <v>31</v>
      </c>
      <c r="Y124" s="244" t="s">
        <v>157</v>
      </c>
      <c r="Z124" s="238" t="s">
        <v>158</v>
      </c>
      <c r="AA124" s="2"/>
      <c r="AB124" s="2"/>
      <c r="AC124" s="2"/>
      <c r="AD124" s="2"/>
      <c r="AE124" s="2"/>
      <c r="AF124" s="2"/>
      <c r="AG124" s="2"/>
      <c r="AH124" s="2"/>
    </row>
    <row r="125" spans="12:37" ht="14.25" customHeight="1" x14ac:dyDescent="0.2">
      <c r="M125" s="2"/>
      <c r="O125" s="148"/>
      <c r="P125" s="9"/>
      <c r="Q125" s="239"/>
      <c r="R125" s="148"/>
      <c r="S125" s="9"/>
      <c r="T125" s="239"/>
      <c r="U125" s="148"/>
      <c r="V125" s="9"/>
      <c r="W125" s="239"/>
      <c r="X125" s="212"/>
      <c r="Y125" s="9"/>
      <c r="Z125" s="239"/>
      <c r="AA125" s="2"/>
      <c r="AB125" s="2"/>
      <c r="AC125" s="2"/>
      <c r="AD125" s="2"/>
      <c r="AE125" s="2"/>
      <c r="AF125" s="2"/>
      <c r="AG125" s="2"/>
      <c r="AH125" s="2"/>
    </row>
    <row r="126" spans="12:37" ht="14.25" customHeight="1" x14ac:dyDescent="0.2">
      <c r="M126" s="2"/>
      <c r="N126" s="2">
        <v>1</v>
      </c>
      <c r="O126" s="242">
        <v>-15</v>
      </c>
      <c r="P126" s="245">
        <f>O126+30</f>
        <v>15</v>
      </c>
      <c r="Q126" s="240">
        <v>245</v>
      </c>
      <c r="R126" s="242">
        <v>-19</v>
      </c>
      <c r="S126" s="245">
        <f>R126+30</f>
        <v>11</v>
      </c>
      <c r="T126" s="240">
        <v>260</v>
      </c>
      <c r="U126" s="242">
        <v>-23</v>
      </c>
      <c r="V126" s="245">
        <f>U126+30</f>
        <v>7</v>
      </c>
      <c r="W126" s="240">
        <v>330</v>
      </c>
      <c r="X126" s="242">
        <v>-27</v>
      </c>
      <c r="Y126" s="245">
        <f>X126+30</f>
        <v>3</v>
      </c>
      <c r="Z126" s="240">
        <v>375</v>
      </c>
      <c r="AA126" s="2"/>
      <c r="AB126" s="2"/>
      <c r="AC126" s="2"/>
      <c r="AD126" s="2"/>
      <c r="AE126" s="2"/>
      <c r="AF126" s="2"/>
      <c r="AG126" s="2"/>
      <c r="AH126" s="2"/>
    </row>
    <row r="127" spans="12:37" ht="15" customHeight="1" x14ac:dyDescent="0.2">
      <c r="N127" s="2">
        <v>2</v>
      </c>
      <c r="O127" s="242">
        <v>0</v>
      </c>
      <c r="P127" s="245">
        <f>O127+30</f>
        <v>30</v>
      </c>
      <c r="Q127" s="240">
        <v>259</v>
      </c>
      <c r="R127" s="242">
        <v>-4</v>
      </c>
      <c r="S127" s="245">
        <f>R127+30</f>
        <v>26</v>
      </c>
      <c r="T127" s="240">
        <v>285</v>
      </c>
      <c r="U127" s="242">
        <v>-8</v>
      </c>
      <c r="V127" s="245">
        <f>U127+30</f>
        <v>22</v>
      </c>
      <c r="W127" s="240">
        <v>365</v>
      </c>
      <c r="X127" s="242">
        <v>-12</v>
      </c>
      <c r="Y127" s="245">
        <f>X127+30</f>
        <v>18</v>
      </c>
      <c r="Z127" s="240">
        <v>426</v>
      </c>
      <c r="AA127" s="2"/>
      <c r="AB127" s="2" t="s">
        <v>4</v>
      </c>
      <c r="AC127" s="2"/>
      <c r="AD127" s="2"/>
      <c r="AE127" s="2"/>
      <c r="AF127" s="2"/>
      <c r="AG127" s="2"/>
      <c r="AH127" s="2"/>
    </row>
    <row r="128" spans="12:37" ht="15" customHeight="1" x14ac:dyDescent="0.2">
      <c r="M128" s="645"/>
      <c r="N128" s="2">
        <v>3</v>
      </c>
      <c r="O128" s="242">
        <v>15</v>
      </c>
      <c r="P128" s="245">
        <f>O128+30</f>
        <v>45</v>
      </c>
      <c r="Q128" s="240">
        <v>272</v>
      </c>
      <c r="R128" s="242">
        <v>11</v>
      </c>
      <c r="S128" s="245">
        <f>R128+30</f>
        <v>41</v>
      </c>
      <c r="T128" s="240">
        <v>311</v>
      </c>
      <c r="U128" s="242">
        <v>7</v>
      </c>
      <c r="V128" s="245">
        <f>U128+30</f>
        <v>37</v>
      </c>
      <c r="W128" s="240">
        <v>399</v>
      </c>
      <c r="X128" s="242">
        <v>3</v>
      </c>
      <c r="Y128" s="245">
        <f>X128+30</f>
        <v>33</v>
      </c>
      <c r="Z128" s="240">
        <v>477</v>
      </c>
      <c r="AA128" s="2"/>
      <c r="AB128" s="2"/>
      <c r="AC128" s="2"/>
      <c r="AD128" s="2"/>
      <c r="AE128" s="2"/>
      <c r="AF128" s="2"/>
      <c r="AG128" s="2"/>
      <c r="AH128" s="2"/>
    </row>
    <row r="129" spans="13:34" ht="15" customHeight="1" x14ac:dyDescent="0.2">
      <c r="N129" s="2">
        <v>4</v>
      </c>
      <c r="O129" s="242">
        <v>25</v>
      </c>
      <c r="P129" s="245">
        <f>O129+30</f>
        <v>55</v>
      </c>
      <c r="Q129" s="240">
        <v>281</v>
      </c>
      <c r="R129" s="242">
        <v>21</v>
      </c>
      <c r="S129" s="245">
        <f>R129+30</f>
        <v>51</v>
      </c>
      <c r="T129" s="240">
        <v>328</v>
      </c>
      <c r="U129" s="242">
        <v>17</v>
      </c>
      <c r="V129" s="245">
        <f>U129+30</f>
        <v>47</v>
      </c>
      <c r="W129" s="240">
        <v>422</v>
      </c>
      <c r="X129" s="242">
        <v>13</v>
      </c>
      <c r="Y129" s="245">
        <f>X129+30</f>
        <v>43</v>
      </c>
      <c r="Z129" s="240">
        <v>511</v>
      </c>
      <c r="AA129" s="2"/>
      <c r="AB129" s="2"/>
      <c r="AC129" s="2"/>
      <c r="AD129" s="2"/>
      <c r="AE129" s="2"/>
      <c r="AF129" s="2"/>
      <c r="AG129" s="2"/>
      <c r="AH129" s="2"/>
    </row>
    <row r="130" spans="13:34" ht="15" customHeight="1" thickBot="1" x14ac:dyDescent="0.25">
      <c r="N130" s="2">
        <v>5</v>
      </c>
      <c r="O130" s="243">
        <v>35</v>
      </c>
      <c r="P130" s="246">
        <f>O130+30</f>
        <v>65</v>
      </c>
      <c r="Q130" s="241">
        <v>290</v>
      </c>
      <c r="R130" s="243">
        <v>31</v>
      </c>
      <c r="S130" s="246">
        <f>R130+30</f>
        <v>61</v>
      </c>
      <c r="T130" s="241">
        <v>345</v>
      </c>
      <c r="U130" s="243">
        <v>27</v>
      </c>
      <c r="V130" s="246">
        <f>U130+30</f>
        <v>57</v>
      </c>
      <c r="W130" s="241">
        <v>445</v>
      </c>
      <c r="X130" s="243">
        <v>23</v>
      </c>
      <c r="Y130" s="246">
        <f>X130+30</f>
        <v>53</v>
      </c>
      <c r="Z130" s="241">
        <v>545</v>
      </c>
      <c r="AA130" s="2"/>
      <c r="AB130" s="2"/>
      <c r="AC130" s="2"/>
      <c r="AD130" s="2"/>
      <c r="AE130" s="2"/>
      <c r="AF130" s="2"/>
      <c r="AG130" s="2"/>
      <c r="AH130" s="2"/>
    </row>
    <row r="131" spans="13:34" ht="15" customHeight="1" x14ac:dyDescent="0.2">
      <c r="O131" s="2"/>
      <c r="P131" s="671" t="s">
        <v>172</v>
      </c>
      <c r="Q131" s="672">
        <v>231.5</v>
      </c>
      <c r="R131" s="2"/>
      <c r="S131" s="671" t="s">
        <v>172</v>
      </c>
      <c r="T131" s="672">
        <v>241.3</v>
      </c>
      <c r="U131" s="2"/>
      <c r="V131" s="671" t="s">
        <v>172</v>
      </c>
      <c r="W131" s="672">
        <v>313.89999999999998</v>
      </c>
      <c r="Y131" s="671" t="s">
        <v>172</v>
      </c>
      <c r="Z131" s="672">
        <v>364.8</v>
      </c>
      <c r="AA131" s="2"/>
      <c r="AB131" s="2"/>
      <c r="AC131" s="2"/>
      <c r="AD131" s="2"/>
      <c r="AE131" s="2"/>
      <c r="AF131" s="2"/>
      <c r="AG131" s="2"/>
      <c r="AH131" s="2"/>
    </row>
    <row r="132" spans="13:34" ht="15" customHeight="1" thickBot="1" x14ac:dyDescent="0.25">
      <c r="O132" s="2"/>
      <c r="P132" s="673" t="s">
        <v>173</v>
      </c>
      <c r="Q132" s="670">
        <v>0.9</v>
      </c>
      <c r="R132" s="2"/>
      <c r="S132" s="674" t="s">
        <v>173</v>
      </c>
      <c r="T132" s="670">
        <v>1.7</v>
      </c>
      <c r="U132" s="2"/>
      <c r="V132" s="674" t="s">
        <v>173</v>
      </c>
      <c r="W132" s="670">
        <v>2.2999999999999998</v>
      </c>
      <c r="Y132" s="674" t="s">
        <v>173</v>
      </c>
      <c r="Z132" s="670">
        <v>3.4</v>
      </c>
      <c r="AA132" s="2"/>
      <c r="AB132" s="2"/>
      <c r="AC132" s="2"/>
      <c r="AD132" s="2"/>
      <c r="AE132" s="2"/>
      <c r="AF132" s="2"/>
      <c r="AG132" s="2"/>
      <c r="AH132" s="2"/>
    </row>
    <row r="133" spans="13:34" ht="15" customHeight="1" thickBot="1" x14ac:dyDescent="0.25">
      <c r="O133" s="651" t="s">
        <v>165</v>
      </c>
      <c r="P133" s="675" t="s">
        <v>329</v>
      </c>
      <c r="Q133" s="651">
        <f>Q131+Q132*P134</f>
        <v>287.3</v>
      </c>
      <c r="R133" s="2"/>
      <c r="S133" s="677" t="s">
        <v>329</v>
      </c>
      <c r="T133" s="651">
        <f>T131+T132*P134</f>
        <v>346.7</v>
      </c>
      <c r="U133" s="2"/>
      <c r="V133" s="677" t="s">
        <v>329</v>
      </c>
      <c r="W133" s="651">
        <f>W131+W132*P134</f>
        <v>456.5</v>
      </c>
      <c r="Y133" s="677" t="s">
        <v>329</v>
      </c>
      <c r="Z133" s="651">
        <f>Z131+Z132*P134</f>
        <v>575.6</v>
      </c>
      <c r="AA133" s="2"/>
      <c r="AB133" s="2"/>
      <c r="AC133" s="2"/>
      <c r="AD133" s="2"/>
      <c r="AE133" s="2"/>
      <c r="AF133" s="2"/>
      <c r="AG133" s="2"/>
      <c r="AH133" s="2"/>
    </row>
    <row r="134" spans="13:34" ht="15" customHeight="1" thickBot="1" x14ac:dyDescent="0.25">
      <c r="O134" s="645" t="s">
        <v>31</v>
      </c>
      <c r="P134" s="402">
        <f>H10+30</f>
        <v>62</v>
      </c>
      <c r="Q134" s="2"/>
      <c r="R134" s="2"/>
      <c r="S134" s="2"/>
      <c r="T134" s="2"/>
      <c r="U134" s="2"/>
      <c r="V134" s="2"/>
      <c r="W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3:34" ht="15" customHeight="1" x14ac:dyDescent="0.2">
      <c r="O135" s="2"/>
      <c r="P135" s="2"/>
      <c r="Q135" s="2"/>
      <c r="R135" s="2"/>
      <c r="S135" s="2"/>
      <c r="T135" s="2"/>
      <c r="U135" s="2"/>
      <c r="V135" s="2"/>
      <c r="W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3:34" ht="15" customHeight="1" thickBot="1" x14ac:dyDescent="0.25">
      <c r="M136" s="2"/>
      <c r="O136" s="2"/>
      <c r="P136" s="2"/>
      <c r="Q136" s="2"/>
      <c r="R136" s="2"/>
      <c r="S136" s="2"/>
      <c r="T136" s="2"/>
      <c r="U136" s="2"/>
      <c r="V136" s="2"/>
      <c r="W136" s="2"/>
      <c r="Y136" s="2"/>
      <c r="Z136" s="2"/>
      <c r="AA136" s="237"/>
      <c r="AB136" s="237"/>
      <c r="AC136" s="237"/>
      <c r="AD136" s="237"/>
    </row>
    <row r="137" spans="13:34" ht="15" customHeight="1" thickBot="1" x14ac:dyDescent="0.25">
      <c r="M137" s="2"/>
      <c r="O137" s="945" t="s">
        <v>169</v>
      </c>
      <c r="P137" s="946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21"/>
      <c r="AB137" s="21"/>
      <c r="AC137" s="21"/>
      <c r="AD137" s="21"/>
    </row>
    <row r="138" spans="13:34" ht="15" customHeight="1" thickBot="1" x14ac:dyDescent="0.25">
      <c r="M138" s="2"/>
      <c r="O138" s="4"/>
      <c r="P138" s="4" t="s">
        <v>156</v>
      </c>
      <c r="Q138" s="163"/>
      <c r="R138" s="163"/>
      <c r="S138" s="237" t="s">
        <v>159</v>
      </c>
      <c r="T138" s="163"/>
      <c r="U138" s="163"/>
      <c r="V138" s="237" t="s">
        <v>160</v>
      </c>
      <c r="W138" s="237"/>
      <c r="X138" s="237"/>
      <c r="Y138" s="237" t="s">
        <v>161</v>
      </c>
      <c r="Z138" s="163"/>
      <c r="AA138" s="163"/>
      <c r="AB138" s="163"/>
      <c r="AC138" s="163"/>
      <c r="AD138" s="163"/>
    </row>
    <row r="139" spans="13:34" ht="15" customHeight="1" x14ac:dyDescent="0.2">
      <c r="M139" s="2"/>
      <c r="O139" s="132" t="s">
        <v>31</v>
      </c>
      <c r="P139" s="244" t="s">
        <v>157</v>
      </c>
      <c r="Q139" s="238" t="s">
        <v>158</v>
      </c>
      <c r="R139" s="132" t="s">
        <v>31</v>
      </c>
      <c r="S139" s="244" t="s">
        <v>157</v>
      </c>
      <c r="T139" s="238" t="s">
        <v>158</v>
      </c>
      <c r="U139" s="132" t="s">
        <v>31</v>
      </c>
      <c r="V139" s="244" t="s">
        <v>157</v>
      </c>
      <c r="W139" s="238" t="s">
        <v>158</v>
      </c>
      <c r="X139" s="132" t="s">
        <v>31</v>
      </c>
      <c r="Y139" s="244" t="s">
        <v>157</v>
      </c>
      <c r="Z139" s="238" t="s">
        <v>158</v>
      </c>
      <c r="AA139" s="163"/>
      <c r="AB139" s="163"/>
      <c r="AC139" s="163"/>
      <c r="AD139" s="163"/>
    </row>
    <row r="140" spans="13:34" ht="15" customHeight="1" x14ac:dyDescent="0.2">
      <c r="M140" s="2"/>
      <c r="O140" s="148"/>
      <c r="P140" s="9"/>
      <c r="Q140" s="239"/>
      <c r="R140" s="148"/>
      <c r="S140" s="9"/>
      <c r="T140" s="239"/>
      <c r="U140" s="148"/>
      <c r="V140" s="9"/>
      <c r="W140" s="239"/>
      <c r="X140" s="212"/>
      <c r="Y140" s="9"/>
      <c r="Z140" s="239"/>
      <c r="AA140" s="163"/>
      <c r="AB140" s="163"/>
      <c r="AC140" s="163"/>
      <c r="AD140" s="163"/>
    </row>
    <row r="141" spans="13:34" ht="15" customHeight="1" x14ac:dyDescent="0.2">
      <c r="M141" s="2"/>
      <c r="N141" s="2">
        <v>1</v>
      </c>
      <c r="O141" s="242">
        <v>-15</v>
      </c>
      <c r="P141" s="245">
        <f>O141+30</f>
        <v>15</v>
      </c>
      <c r="Q141" s="240">
        <v>175</v>
      </c>
      <c r="R141" s="242">
        <v>-19</v>
      </c>
      <c r="S141" s="245">
        <f>R141+30</f>
        <v>11</v>
      </c>
      <c r="T141" s="240">
        <v>235</v>
      </c>
      <c r="U141" s="242">
        <v>-23</v>
      </c>
      <c r="V141" s="245">
        <f>U141+30</f>
        <v>7</v>
      </c>
      <c r="W141" s="240">
        <v>265</v>
      </c>
      <c r="X141" s="242">
        <v>-27</v>
      </c>
      <c r="Y141" s="245">
        <f>X141+30</f>
        <v>3</v>
      </c>
      <c r="Z141" s="240">
        <v>295</v>
      </c>
      <c r="AA141" s="163"/>
      <c r="AB141" s="163"/>
      <c r="AC141" s="163"/>
      <c r="AD141" s="163"/>
    </row>
    <row r="142" spans="13:34" ht="15" customHeight="1" x14ac:dyDescent="0.2">
      <c r="M142" s="2"/>
      <c r="N142" s="2">
        <v>2</v>
      </c>
      <c r="O142" s="242">
        <v>0</v>
      </c>
      <c r="P142" s="245">
        <f>O142+30</f>
        <v>30</v>
      </c>
      <c r="Q142" s="240">
        <v>199</v>
      </c>
      <c r="R142" s="242">
        <v>-4</v>
      </c>
      <c r="S142" s="245">
        <f>R142+30</f>
        <v>26</v>
      </c>
      <c r="T142" s="240">
        <v>249</v>
      </c>
      <c r="U142" s="242">
        <v>-8</v>
      </c>
      <c r="V142" s="245">
        <f>U142+30</f>
        <v>22</v>
      </c>
      <c r="W142" s="240">
        <v>294</v>
      </c>
      <c r="X142" s="242">
        <v>-12</v>
      </c>
      <c r="Y142" s="245">
        <f>X142+30</f>
        <v>18</v>
      </c>
      <c r="Z142" s="240">
        <v>339</v>
      </c>
      <c r="AA142" s="163"/>
      <c r="AB142" s="163"/>
      <c r="AC142" s="163"/>
      <c r="AD142" s="163"/>
    </row>
    <row r="143" spans="13:34" ht="15" customHeight="1" x14ac:dyDescent="0.2">
      <c r="M143" s="2"/>
      <c r="N143" s="2">
        <v>3</v>
      </c>
      <c r="O143" s="242">
        <v>15</v>
      </c>
      <c r="P143" s="245">
        <f>O143+30</f>
        <v>45</v>
      </c>
      <c r="Q143" s="240">
        <v>223</v>
      </c>
      <c r="R143" s="242">
        <v>11</v>
      </c>
      <c r="S143" s="245">
        <f>R143+30</f>
        <v>41</v>
      </c>
      <c r="T143" s="240">
        <v>262</v>
      </c>
      <c r="U143" s="242">
        <v>7</v>
      </c>
      <c r="V143" s="245">
        <f>U143+30</f>
        <v>37</v>
      </c>
      <c r="W143" s="240">
        <v>322</v>
      </c>
      <c r="X143" s="242">
        <v>3</v>
      </c>
      <c r="Y143" s="245">
        <f>X143+30</f>
        <v>33</v>
      </c>
      <c r="Z143" s="240">
        <v>382</v>
      </c>
      <c r="AA143" s="163"/>
      <c r="AB143" s="163"/>
      <c r="AC143" s="163"/>
      <c r="AD143" s="163"/>
    </row>
    <row r="144" spans="13:34" ht="15" customHeight="1" x14ac:dyDescent="0.2">
      <c r="M144" s="2"/>
      <c r="N144" s="2">
        <v>4</v>
      </c>
      <c r="O144" s="242">
        <v>25</v>
      </c>
      <c r="P144" s="245">
        <f>O144+30</f>
        <v>55</v>
      </c>
      <c r="Q144" s="240">
        <v>239</v>
      </c>
      <c r="R144" s="242">
        <v>21</v>
      </c>
      <c r="S144" s="245">
        <f>R144+30</f>
        <v>51</v>
      </c>
      <c r="T144" s="240">
        <v>271</v>
      </c>
      <c r="U144" s="242">
        <v>17</v>
      </c>
      <c r="V144" s="245">
        <f>U144+30</f>
        <v>47</v>
      </c>
      <c r="W144" s="240">
        <v>341</v>
      </c>
      <c r="X144" s="242">
        <v>13</v>
      </c>
      <c r="Y144" s="245">
        <f>X144+30</f>
        <v>43</v>
      </c>
      <c r="Z144" s="240">
        <v>411</v>
      </c>
      <c r="AA144" s="163"/>
      <c r="AB144" s="163"/>
      <c r="AC144" s="163"/>
      <c r="AD144" s="163"/>
    </row>
    <row r="145" spans="13:30" ht="15" customHeight="1" thickBot="1" x14ac:dyDescent="0.25">
      <c r="M145" s="2"/>
      <c r="N145" s="2">
        <v>5</v>
      </c>
      <c r="O145" s="243">
        <v>35</v>
      </c>
      <c r="P145" s="246">
        <f>O145+30</f>
        <v>65</v>
      </c>
      <c r="Q145" s="241">
        <v>255</v>
      </c>
      <c r="R145" s="243">
        <v>31</v>
      </c>
      <c r="S145" s="246">
        <f>R145+30</f>
        <v>61</v>
      </c>
      <c r="T145" s="241">
        <v>280</v>
      </c>
      <c r="U145" s="243">
        <v>27</v>
      </c>
      <c r="V145" s="246">
        <f>U145+30</f>
        <v>57</v>
      </c>
      <c r="W145" s="241">
        <v>360</v>
      </c>
      <c r="X145" s="243">
        <v>23</v>
      </c>
      <c r="Y145" s="246">
        <f>X145+30</f>
        <v>53</v>
      </c>
      <c r="Z145" s="241">
        <v>440</v>
      </c>
      <c r="AA145" s="163"/>
      <c r="AB145" s="163"/>
      <c r="AC145" s="163"/>
      <c r="AD145" s="163"/>
    </row>
    <row r="146" spans="13:30" ht="15" customHeight="1" x14ac:dyDescent="0.2">
      <c r="M146" s="2"/>
      <c r="O146" s="2"/>
      <c r="P146" s="671" t="s">
        <v>172</v>
      </c>
      <c r="Q146" s="672">
        <v>151</v>
      </c>
      <c r="R146" s="2"/>
      <c r="S146" s="671" t="s">
        <v>172</v>
      </c>
      <c r="T146" s="672">
        <v>225.1</v>
      </c>
      <c r="U146" s="2"/>
      <c r="V146" s="671" t="s">
        <v>172</v>
      </c>
      <c r="W146" s="672">
        <v>251.7</v>
      </c>
      <c r="Y146" s="671" t="s">
        <v>172</v>
      </c>
      <c r="Z146" s="672">
        <v>286.3</v>
      </c>
      <c r="AA146" s="163"/>
      <c r="AB146" s="163"/>
      <c r="AC146" s="163"/>
      <c r="AD146" s="163"/>
    </row>
    <row r="147" spans="13:30" ht="15" customHeight="1" thickBot="1" x14ac:dyDescent="0.25">
      <c r="M147" s="2"/>
      <c r="O147" s="2"/>
      <c r="P147" s="674" t="s">
        <v>173</v>
      </c>
      <c r="Q147" s="670">
        <v>1.6</v>
      </c>
      <c r="R147" s="2"/>
      <c r="S147" s="674" t="s">
        <v>173</v>
      </c>
      <c r="T147" s="670">
        <v>0.9</v>
      </c>
      <c r="U147" s="2"/>
      <c r="V147" s="674" t="s">
        <v>173</v>
      </c>
      <c r="W147" s="670">
        <v>1.9</v>
      </c>
      <c r="Y147" s="674" t="s">
        <v>173</v>
      </c>
      <c r="Z147" s="670">
        <v>2.9</v>
      </c>
      <c r="AA147" s="163"/>
      <c r="AB147" s="163"/>
      <c r="AC147" s="163"/>
      <c r="AD147" s="163"/>
    </row>
    <row r="148" spans="13:30" ht="15" customHeight="1" thickBot="1" x14ac:dyDescent="0.25">
      <c r="M148" s="2"/>
      <c r="O148" s="651" t="s">
        <v>165</v>
      </c>
      <c r="P148" s="675" t="s">
        <v>329</v>
      </c>
      <c r="Q148" s="651">
        <f>Q146+Q147*P149</f>
        <v>250.2</v>
      </c>
      <c r="R148" s="2"/>
      <c r="S148" s="675" t="s">
        <v>329</v>
      </c>
      <c r="T148" s="651">
        <f>T146+T147*P149</f>
        <v>280.89999999999998</v>
      </c>
      <c r="U148" s="2"/>
      <c r="V148" s="675" t="s">
        <v>329</v>
      </c>
      <c r="W148" s="651">
        <f>W146+W147*P149</f>
        <v>369.5</v>
      </c>
      <c r="Y148" s="675" t="s">
        <v>329</v>
      </c>
      <c r="Z148" s="651">
        <f>Z146+Z147*P149</f>
        <v>466.1</v>
      </c>
      <c r="AA148" s="163"/>
      <c r="AB148" s="163"/>
      <c r="AC148" s="163"/>
      <c r="AD148" s="163"/>
    </row>
    <row r="149" spans="13:30" ht="15" customHeight="1" thickBot="1" x14ac:dyDescent="0.25">
      <c r="M149" s="2"/>
      <c r="O149" s="645" t="s">
        <v>31</v>
      </c>
      <c r="P149" s="402">
        <f>H10+30</f>
        <v>62</v>
      </c>
      <c r="Q149" s="2"/>
      <c r="R149" s="2"/>
      <c r="S149" s="2"/>
      <c r="T149" s="2"/>
      <c r="U149" s="2"/>
      <c r="V149" s="2"/>
      <c r="W149" s="2"/>
      <c r="Y149" s="2"/>
      <c r="Z149" s="2"/>
      <c r="AA149" s="163"/>
      <c r="AB149" s="163"/>
      <c r="AC149" s="163"/>
      <c r="AD149" s="163"/>
    </row>
    <row r="150" spans="13:30" ht="15" customHeight="1" thickBot="1" x14ac:dyDescent="0.25">
      <c r="M150" s="2"/>
      <c r="O150" s="2"/>
      <c r="P150" s="2"/>
      <c r="Q150" s="2"/>
      <c r="R150" s="2"/>
      <c r="S150" s="2"/>
      <c r="T150" s="2"/>
      <c r="U150" s="2"/>
      <c r="V150" s="2"/>
      <c r="W150" s="2"/>
      <c r="Y150" s="2"/>
      <c r="Z150" s="2"/>
      <c r="AA150" s="163"/>
      <c r="AB150" s="163"/>
      <c r="AC150" s="163"/>
      <c r="AD150" s="163"/>
    </row>
    <row r="151" spans="13:30" ht="15" customHeight="1" thickBot="1" x14ac:dyDescent="0.25">
      <c r="M151" s="2"/>
      <c r="O151" s="57" t="s">
        <v>330</v>
      </c>
      <c r="P151" s="2"/>
      <c r="Q151" s="676">
        <f>IF(H8&gt;530,Q118-((Q118-Q133)/50)*(580-H8),IF(H8&gt;480,Q133-((Q133-Q148)/50)*(530-H8),Q148-((Q133-Q148)/50)*(480-H8)))</f>
        <v>366.61579999999992</v>
      </c>
      <c r="R151" s="2"/>
      <c r="S151" s="2"/>
      <c r="T151" s="676">
        <f>IF(H8&gt;530,T118-((T118-T133)/50)*(580-H8),IF(H8&gt;480,T133-((T133-T148)/50)*(530-H8),T148-((T133-T148)/50)*(480-H8)))</f>
        <v>439.70779999999996</v>
      </c>
      <c r="U151" s="2"/>
      <c r="V151" s="2"/>
      <c r="W151" s="676">
        <f>IF(H8&gt;530,W118-((W118-W133)/50)*(580-H8),IF(H8&gt;480,W133-((W133-W148)/50)*(530-H8),W148-((W133-W148)/50)*(480-H8)))</f>
        <v>531.31700000000001</v>
      </c>
      <c r="Y151" s="2"/>
      <c r="Z151" s="676">
        <f>IF(H8&gt;530,Z118-((Z118-Z133)/50)*(580-H8),IF(H8&gt;480,Z133-((Z133-Z148)/50)*(530-H8),Z148-((Z133-Z148)/50)*(480-H8)))</f>
        <v>680.53939999999989</v>
      </c>
      <c r="AA151" s="163" t="s">
        <v>4</v>
      </c>
      <c r="AB151" s="163"/>
      <c r="AC151" s="163"/>
      <c r="AD151" s="163"/>
    </row>
    <row r="152" spans="13:30" ht="15" customHeight="1" thickBot="1" x14ac:dyDescent="0.25">
      <c r="M152" s="2"/>
      <c r="O152" s="2"/>
      <c r="P152" s="2"/>
      <c r="Q152" s="2"/>
      <c r="R152" s="2"/>
      <c r="S152" s="2"/>
      <c r="T152" s="2"/>
      <c r="U152" s="2"/>
      <c r="V152" s="2"/>
      <c r="W152" s="2"/>
      <c r="Y152" s="2"/>
      <c r="Z152" s="2"/>
      <c r="AA152" s="163"/>
      <c r="AB152" s="163"/>
      <c r="AC152" s="163"/>
      <c r="AD152" s="163"/>
    </row>
    <row r="153" spans="13:30" ht="15" customHeight="1" thickBot="1" x14ac:dyDescent="0.25">
      <c r="M153" s="2"/>
      <c r="O153" s="57" t="s">
        <v>181</v>
      </c>
      <c r="P153" s="2"/>
      <c r="Q153" s="676">
        <f>IF(K9&lt;2000,Q151+((T151-Q151)/2000)*(K9),IF(K9&lt;4000,T151+((W151-T151)/2000)*(K9-2000),IF(K9&lt;6000,W151+((Z151-W151)/2000)*(K9-4000),Z151+(K9-6000)/2000)*(K9-6000)))</f>
        <v>382.18439599999994</v>
      </c>
      <c r="R153" s="2"/>
      <c r="S153" s="2"/>
      <c r="T153" s="2"/>
      <c r="U153" s="2"/>
      <c r="V153" s="2"/>
      <c r="W153" s="2"/>
      <c r="Y153" s="2"/>
      <c r="Z153" s="2"/>
      <c r="AA153" s="163"/>
      <c r="AB153" s="163"/>
      <c r="AC153" s="163"/>
      <c r="AD153" s="163"/>
    </row>
    <row r="154" spans="13:30" ht="15" customHeight="1" thickBot="1" x14ac:dyDescent="0.25">
      <c r="M154" s="2"/>
      <c r="O154" s="2"/>
      <c r="P154" s="2"/>
      <c r="Q154" s="2"/>
      <c r="R154" s="2"/>
      <c r="S154" s="2"/>
      <c r="T154" s="2"/>
      <c r="U154" s="2"/>
      <c r="V154" s="2"/>
      <c r="W154" s="2"/>
      <c r="Y154" s="2"/>
      <c r="Z154" s="2"/>
      <c r="AA154" s="163"/>
      <c r="AB154" s="163"/>
      <c r="AC154" s="163"/>
      <c r="AD154" s="163"/>
    </row>
    <row r="155" spans="13:30" ht="15" customHeight="1" thickBot="1" x14ac:dyDescent="0.25">
      <c r="M155" s="2"/>
      <c r="O155" s="57" t="s">
        <v>331</v>
      </c>
      <c r="P155" s="2"/>
      <c r="Q155" s="676">
        <f>IF(K7&lt;0,Q153-(Q153/100*-K7),Q153+(Q153/50)*K7)</f>
        <v>365.63532620669935</v>
      </c>
      <c r="R155" s="2"/>
      <c r="S155" s="2"/>
      <c r="T155" s="2"/>
      <c r="U155" s="2" t="s">
        <v>4</v>
      </c>
      <c r="V155" s="2"/>
      <c r="W155" s="2"/>
      <c r="Y155" s="2"/>
      <c r="Z155" s="2"/>
      <c r="AA155" s="163"/>
      <c r="AB155" s="163"/>
      <c r="AC155" s="163"/>
      <c r="AD155" s="163"/>
    </row>
    <row r="156" spans="13:30" ht="15" customHeight="1" thickBot="1" x14ac:dyDescent="0.25">
      <c r="M156" s="2"/>
      <c r="O156" s="2"/>
      <c r="P156" s="2"/>
      <c r="Q156" s="2"/>
      <c r="R156" s="2"/>
      <c r="S156" s="2"/>
      <c r="T156" s="2"/>
      <c r="U156" s="2"/>
      <c r="V156" s="2"/>
      <c r="W156" s="2"/>
      <c r="Y156" s="2"/>
      <c r="Z156" s="2"/>
      <c r="AA156" s="163"/>
      <c r="AB156" s="163"/>
      <c r="AC156" s="163"/>
      <c r="AD156" s="163"/>
    </row>
    <row r="157" spans="13:30" ht="15" customHeight="1" thickBot="1" x14ac:dyDescent="0.25">
      <c r="M157" s="2"/>
      <c r="O157" s="57" t="s">
        <v>286</v>
      </c>
      <c r="P157" s="2"/>
      <c r="Q157" s="678">
        <f>IF(H12="d",Q155-(Q155/100*6),Q155)</f>
        <v>343.6972066342974</v>
      </c>
      <c r="R157" s="2"/>
      <c r="S157" s="2"/>
      <c r="T157" s="2"/>
      <c r="U157" s="2"/>
      <c r="V157" s="2"/>
      <c r="W157" s="2"/>
      <c r="Y157" s="2"/>
      <c r="Z157" s="2"/>
      <c r="AA157" s="163"/>
      <c r="AB157" s="163"/>
      <c r="AC157" s="163"/>
      <c r="AD157" s="163"/>
    </row>
    <row r="158" spans="13:30" ht="15" customHeight="1" x14ac:dyDescent="0.2">
      <c r="M158" s="2"/>
      <c r="O158" s="2"/>
      <c r="P158" s="2"/>
      <c r="Q158" s="2"/>
      <c r="R158" s="2"/>
      <c r="S158" s="2"/>
      <c r="T158" s="2"/>
      <c r="U158" s="2"/>
      <c r="V158" s="2"/>
      <c r="W158" s="2"/>
      <c r="Y158" s="2"/>
      <c r="Z158" s="2"/>
    </row>
    <row r="159" spans="13:30" ht="15" customHeight="1" x14ac:dyDescent="0.2">
      <c r="M159" s="2"/>
      <c r="O159" s="2"/>
      <c r="P159" s="2"/>
      <c r="Q159" s="2"/>
      <c r="R159" s="2"/>
      <c r="S159" s="2"/>
      <c r="T159" s="2"/>
      <c r="U159" s="2"/>
      <c r="V159" s="2"/>
      <c r="W159" s="2"/>
      <c r="Y159" s="2"/>
      <c r="Z159" s="2"/>
    </row>
    <row r="160" spans="13:30" ht="15" customHeight="1" x14ac:dyDescent="0.2">
      <c r="M160" s="2"/>
      <c r="O160" s="2"/>
      <c r="P160" s="2"/>
      <c r="Q160" s="2"/>
      <c r="R160" s="2"/>
      <c r="S160" s="2"/>
      <c r="T160" s="2"/>
      <c r="U160" s="2"/>
      <c r="V160" s="2"/>
      <c r="W160" s="2"/>
      <c r="Y160" s="2"/>
      <c r="Z160" s="2"/>
    </row>
    <row r="161" spans="13:30" ht="15" customHeight="1" x14ac:dyDescent="0.2">
      <c r="M161" s="2"/>
      <c r="O161" s="2"/>
      <c r="P161" s="2"/>
      <c r="Q161" s="2"/>
      <c r="R161" s="2"/>
      <c r="S161" s="2"/>
      <c r="T161" s="2"/>
      <c r="U161" s="2"/>
      <c r="V161" s="2"/>
      <c r="W161" s="2"/>
      <c r="Y161" s="2"/>
      <c r="Z161" s="2"/>
      <c r="AA161" s="163"/>
      <c r="AB161" s="163"/>
      <c r="AC161" s="163"/>
      <c r="AD161" s="163"/>
    </row>
    <row r="162" spans="13:30" ht="15" customHeight="1" x14ac:dyDescent="0.2">
      <c r="M162" s="2"/>
      <c r="O162" s="2"/>
      <c r="P162" s="2"/>
      <c r="Q162" s="2"/>
      <c r="R162" s="2"/>
      <c r="S162" s="2"/>
      <c r="T162" s="2"/>
      <c r="U162" s="2"/>
      <c r="V162" s="2"/>
      <c r="W162" s="2"/>
      <c r="Y162" s="2"/>
      <c r="Z162" s="2"/>
      <c r="AA162" s="163"/>
      <c r="AB162" s="163"/>
      <c r="AC162" s="163"/>
      <c r="AD162" s="163"/>
    </row>
    <row r="163" spans="13:30" ht="15" customHeight="1" x14ac:dyDescent="0.2">
      <c r="M163" s="2"/>
      <c r="O163" s="2"/>
      <c r="P163" s="2"/>
      <c r="Q163" s="2"/>
      <c r="R163" s="2"/>
      <c r="S163" s="2"/>
      <c r="T163" s="2"/>
      <c r="U163" s="2"/>
      <c r="V163" s="2"/>
      <c r="W163" s="2"/>
      <c r="Y163" s="2"/>
      <c r="Z163" s="2"/>
      <c r="AA163" s="237"/>
      <c r="AB163" s="237"/>
      <c r="AC163" s="237"/>
      <c r="AD163" s="237"/>
    </row>
    <row r="164" spans="13:30" ht="15" customHeight="1" x14ac:dyDescent="0.2">
      <c r="M164" s="2"/>
      <c r="O164" s="2"/>
      <c r="P164" s="2"/>
      <c r="Q164" s="2"/>
      <c r="R164" s="2"/>
      <c r="S164" s="2"/>
      <c r="T164" s="2"/>
      <c r="U164" s="2"/>
      <c r="V164" s="2"/>
      <c r="W164" s="2"/>
      <c r="Y164" s="2"/>
      <c r="Z164" s="2"/>
      <c r="AA164" s="21"/>
      <c r="AB164" s="21"/>
      <c r="AC164" s="21"/>
      <c r="AD164" s="21"/>
    </row>
    <row r="165" spans="13:30" ht="15" customHeight="1" x14ac:dyDescent="0.2">
      <c r="M165" s="2"/>
      <c r="O165" s="2"/>
      <c r="P165" s="2"/>
      <c r="Q165" s="2"/>
      <c r="R165" s="2"/>
      <c r="S165" s="2"/>
      <c r="T165" s="2"/>
      <c r="U165" s="2"/>
      <c r="V165" s="2"/>
      <c r="W165" s="2"/>
      <c r="Y165" s="2"/>
      <c r="Z165" s="2"/>
      <c r="AA165" s="163"/>
      <c r="AB165" s="163"/>
      <c r="AC165" s="163"/>
      <c r="AD165" s="163"/>
    </row>
    <row r="166" spans="13:30" ht="15" customHeight="1" x14ac:dyDescent="0.2">
      <c r="M166" s="2"/>
      <c r="O166" s="2"/>
      <c r="P166" s="2"/>
      <c r="Q166" s="2"/>
      <c r="R166" s="2"/>
      <c r="S166" s="2"/>
      <c r="T166" s="2"/>
      <c r="U166" s="2"/>
      <c r="V166" s="2"/>
      <c r="W166" s="2"/>
      <c r="Y166" s="2"/>
      <c r="Z166" s="2"/>
      <c r="AA166" s="163"/>
      <c r="AB166" s="163"/>
      <c r="AC166" s="163"/>
      <c r="AD166" s="163"/>
    </row>
    <row r="167" spans="13:30" ht="15" customHeight="1" x14ac:dyDescent="0.2">
      <c r="M167" s="2"/>
      <c r="O167" s="2"/>
      <c r="P167" s="2"/>
      <c r="Q167" s="2"/>
      <c r="R167" s="2"/>
      <c r="S167" s="2"/>
      <c r="T167" s="2"/>
      <c r="U167" s="2"/>
      <c r="V167" s="2"/>
      <c r="W167" s="2"/>
      <c r="Y167" s="2"/>
      <c r="Z167" s="2"/>
      <c r="AA167" s="163"/>
      <c r="AB167" s="163"/>
      <c r="AC167" s="163"/>
      <c r="AD167" s="163"/>
    </row>
    <row r="168" spans="13:30" ht="15" customHeight="1" x14ac:dyDescent="0.2">
      <c r="M168" s="2"/>
      <c r="O168" s="2"/>
      <c r="P168" s="2"/>
      <c r="Q168" s="2"/>
      <c r="R168" s="2"/>
      <c r="S168" s="2"/>
      <c r="T168" s="2"/>
      <c r="U168" s="2"/>
      <c r="V168" s="2"/>
      <c r="W168" s="2"/>
      <c r="Y168" s="2"/>
      <c r="Z168" s="2"/>
      <c r="AA168" s="163"/>
      <c r="AB168" s="163"/>
      <c r="AC168" s="163"/>
      <c r="AD168" s="163"/>
    </row>
    <row r="169" spans="13:30" ht="15" customHeight="1" x14ac:dyDescent="0.2">
      <c r="M169" s="2"/>
      <c r="O169" s="2"/>
      <c r="P169" s="2"/>
      <c r="Q169" s="2"/>
      <c r="R169" s="2"/>
      <c r="S169" s="2"/>
      <c r="T169" s="2"/>
      <c r="U169" s="2"/>
      <c r="V169" s="2"/>
      <c r="W169" s="2"/>
      <c r="Y169" s="2"/>
      <c r="Z169" s="2"/>
      <c r="AA169" s="163"/>
      <c r="AB169" s="163"/>
      <c r="AC169" s="163"/>
      <c r="AD169" s="163"/>
    </row>
    <row r="170" spans="13:30" ht="15" customHeight="1" x14ac:dyDescent="0.2">
      <c r="M170" s="2"/>
      <c r="O170" s="2"/>
      <c r="P170" s="2"/>
      <c r="Q170" s="2"/>
      <c r="R170" s="2"/>
      <c r="S170" s="2"/>
      <c r="T170" s="2"/>
      <c r="U170" s="2"/>
      <c r="V170" s="2"/>
      <c r="W170" s="2"/>
      <c r="Y170" s="2"/>
      <c r="Z170" s="2"/>
    </row>
    <row r="171" spans="13:30" ht="15" customHeight="1" x14ac:dyDescent="0.2">
      <c r="M171" s="2"/>
      <c r="O171" s="2"/>
      <c r="P171" s="2"/>
      <c r="Q171" s="2"/>
      <c r="R171" s="2"/>
      <c r="S171" s="2"/>
      <c r="T171" s="2"/>
      <c r="U171" s="2"/>
      <c r="V171" s="2"/>
      <c r="W171" s="2"/>
      <c r="Y171" s="2"/>
      <c r="Z171" s="2"/>
    </row>
    <row r="172" spans="13:30" ht="15" customHeight="1" x14ac:dyDescent="0.2">
      <c r="M172" s="2"/>
      <c r="O172" s="2"/>
      <c r="P172" s="2"/>
      <c r="Q172" s="2"/>
      <c r="R172" s="2"/>
      <c r="S172" s="2"/>
      <c r="T172" s="2"/>
      <c r="U172" s="2"/>
      <c r="V172" s="2"/>
      <c r="W172" s="2"/>
      <c r="Y172" s="2"/>
      <c r="Z172" s="2"/>
    </row>
    <row r="173" spans="13:30" ht="15" customHeight="1" x14ac:dyDescent="0.2">
      <c r="M173" s="2"/>
      <c r="O173" s="2"/>
      <c r="P173" s="2"/>
      <c r="Q173" s="2"/>
      <c r="R173" s="2"/>
      <c r="S173" s="2"/>
      <c r="T173" s="2"/>
      <c r="U173" s="2"/>
      <c r="V173" s="2"/>
      <c r="W173" s="2"/>
      <c r="Y173" s="2"/>
      <c r="Z173" s="2"/>
    </row>
    <row r="174" spans="13:30" ht="15" customHeight="1" x14ac:dyDescent="0.2">
      <c r="M174" s="2"/>
      <c r="O174" s="2"/>
      <c r="P174" s="2"/>
      <c r="Q174" s="2"/>
      <c r="R174" s="2"/>
      <c r="S174" s="2"/>
      <c r="T174" s="2"/>
      <c r="U174" s="2"/>
      <c r="V174" s="2"/>
      <c r="W174" s="2"/>
      <c r="Y174" s="2"/>
      <c r="Z174" s="2"/>
    </row>
    <row r="175" spans="13:30" ht="15" customHeight="1" x14ac:dyDescent="0.2">
      <c r="M175" s="2"/>
      <c r="O175" s="2"/>
      <c r="P175" s="2"/>
      <c r="Q175" s="2"/>
      <c r="R175" s="2"/>
      <c r="S175" s="2"/>
      <c r="T175" s="2"/>
      <c r="U175" s="2"/>
      <c r="V175" s="2"/>
      <c r="W175" s="2"/>
      <c r="Y175" s="2"/>
      <c r="Z175" s="2"/>
    </row>
    <row r="176" spans="13:30" ht="15" customHeight="1" x14ac:dyDescent="0.2">
      <c r="M176" s="2"/>
      <c r="O176" s="2"/>
      <c r="P176" s="2"/>
      <c r="Q176" s="2"/>
      <c r="R176" s="2"/>
      <c r="S176" s="2"/>
      <c r="T176" s="2"/>
      <c r="U176" s="2"/>
      <c r="V176" s="2"/>
      <c r="W176" s="2"/>
      <c r="Y176" s="2"/>
      <c r="Z176" s="2"/>
    </row>
    <row r="177" spans="13:26" ht="15" customHeight="1" x14ac:dyDescent="0.2">
      <c r="M177" s="2"/>
      <c r="O177" s="2"/>
      <c r="P177" s="2"/>
      <c r="Q177" s="2"/>
      <c r="R177" s="2"/>
      <c r="S177" s="2"/>
      <c r="T177" s="2"/>
      <c r="U177" s="2"/>
      <c r="V177" s="2"/>
      <c r="W177" s="2"/>
      <c r="Y177" s="2"/>
      <c r="Z177" s="2"/>
    </row>
    <row r="178" spans="13:26" ht="15" customHeight="1" x14ac:dyDescent="0.2">
      <c r="M178" s="2"/>
      <c r="O178" s="2"/>
      <c r="P178" s="2"/>
      <c r="Q178" s="2"/>
      <c r="R178" s="2"/>
      <c r="S178" s="2"/>
      <c r="T178" s="2"/>
      <c r="U178" s="2"/>
      <c r="V178" s="2"/>
      <c r="W178" s="2"/>
      <c r="Y178" s="2"/>
      <c r="Z178" s="2"/>
    </row>
    <row r="179" spans="13:26" ht="15" customHeight="1" x14ac:dyDescent="0.2">
      <c r="M179" s="2"/>
      <c r="O179" s="2"/>
      <c r="P179" s="2"/>
      <c r="Q179" s="2"/>
      <c r="R179" s="2"/>
      <c r="S179" s="2"/>
      <c r="T179" s="2"/>
      <c r="U179" s="2"/>
      <c r="V179" s="2"/>
      <c r="W179" s="2"/>
      <c r="Y179" s="2"/>
      <c r="Z179" s="2"/>
    </row>
    <row r="180" spans="13:26" ht="15" customHeight="1" x14ac:dyDescent="0.2">
      <c r="M180" s="2"/>
      <c r="O180" s="2"/>
      <c r="P180" s="2"/>
      <c r="Q180" s="2"/>
      <c r="R180" s="2"/>
      <c r="S180" s="2"/>
      <c r="T180" s="2"/>
      <c r="U180" s="2"/>
      <c r="V180" s="2"/>
      <c r="W180" s="2"/>
      <c r="Y180" s="2"/>
      <c r="Z180" s="2"/>
    </row>
    <row r="181" spans="13:26" ht="15" customHeight="1" x14ac:dyDescent="0.2">
      <c r="M181" s="2"/>
      <c r="O181" s="2"/>
      <c r="P181" s="2"/>
      <c r="Q181" s="2"/>
      <c r="R181" s="2"/>
      <c r="S181" s="2"/>
      <c r="T181" s="2"/>
      <c r="U181" s="2"/>
      <c r="V181" s="2"/>
      <c r="W181" s="2"/>
      <c r="Y181" s="2"/>
      <c r="Z181" s="2"/>
    </row>
    <row r="182" spans="13:26" ht="15" customHeight="1" x14ac:dyDescent="0.2">
      <c r="M182" s="2"/>
      <c r="O182" s="2"/>
      <c r="P182" s="2"/>
      <c r="Q182" s="2"/>
      <c r="R182" s="2"/>
      <c r="S182" s="2"/>
      <c r="T182" s="2"/>
      <c r="U182" s="2"/>
      <c r="V182" s="2"/>
      <c r="W182" s="2"/>
      <c r="Y182" s="2"/>
      <c r="Z182" s="2"/>
    </row>
    <row r="183" spans="13:26" ht="15" customHeight="1" x14ac:dyDescent="0.2">
      <c r="M183" s="2"/>
      <c r="O183" s="2"/>
      <c r="P183" s="2"/>
      <c r="Q183" s="2"/>
      <c r="R183" s="2"/>
      <c r="S183" s="2"/>
      <c r="T183" s="2"/>
      <c r="U183" s="2"/>
      <c r="V183" s="2"/>
      <c r="W183" s="2"/>
      <c r="Y183" s="2"/>
      <c r="Z183" s="2"/>
    </row>
    <row r="184" spans="13:26" ht="15" customHeight="1" x14ac:dyDescent="0.2">
      <c r="M184" s="2"/>
      <c r="O184" s="2"/>
      <c r="P184" s="2"/>
      <c r="Q184" s="2"/>
      <c r="R184" s="2"/>
      <c r="S184" s="2"/>
      <c r="T184" s="2"/>
      <c r="U184" s="2"/>
      <c r="V184" s="2"/>
      <c r="W184" s="2"/>
      <c r="Y184" s="2"/>
      <c r="Z184" s="2"/>
    </row>
    <row r="185" spans="13:26" ht="15" customHeight="1" x14ac:dyDescent="0.2">
      <c r="M185" s="2"/>
      <c r="O185" s="2"/>
      <c r="P185" s="2"/>
      <c r="Q185" s="2"/>
      <c r="R185" s="2"/>
      <c r="S185" s="2"/>
      <c r="T185" s="2"/>
      <c r="U185" s="2"/>
      <c r="V185" s="2"/>
      <c r="W185" s="2"/>
      <c r="Y185" s="2"/>
      <c r="Z185" s="2"/>
    </row>
    <row r="186" spans="13:26" ht="15" customHeight="1" x14ac:dyDescent="0.2">
      <c r="M186" s="2"/>
      <c r="O186" s="2"/>
      <c r="P186" s="2"/>
      <c r="Q186" s="2"/>
      <c r="R186" s="2"/>
      <c r="S186" s="2"/>
      <c r="T186" s="2"/>
      <c r="U186" s="2"/>
      <c r="V186" s="2"/>
      <c r="W186" s="2"/>
      <c r="Y186" s="2"/>
      <c r="Z186" s="2"/>
    </row>
    <row r="187" spans="13:26" ht="15" customHeight="1" x14ac:dyDescent="0.2">
      <c r="M187" s="2"/>
      <c r="O187" s="2"/>
      <c r="P187" s="2"/>
      <c r="Q187" s="2"/>
      <c r="R187" s="2"/>
      <c r="S187" s="2"/>
      <c r="T187" s="2"/>
      <c r="U187" s="2"/>
      <c r="V187" s="2"/>
      <c r="W187" s="2"/>
      <c r="Y187" s="2"/>
      <c r="Z187" s="2"/>
    </row>
    <row r="188" spans="13:26" ht="15" customHeight="1" x14ac:dyDescent="0.2">
      <c r="M188" s="2"/>
      <c r="O188" s="2"/>
      <c r="P188" s="2"/>
      <c r="Q188" s="2"/>
      <c r="R188" s="2"/>
      <c r="S188" s="2"/>
      <c r="T188" s="2"/>
      <c r="U188" s="2"/>
      <c r="V188" s="2"/>
      <c r="W188" s="2"/>
      <c r="Y188" s="2"/>
      <c r="Z188" s="2"/>
    </row>
    <row r="189" spans="13:26" ht="15" customHeight="1" x14ac:dyDescent="0.2">
      <c r="M189" s="2"/>
      <c r="O189" s="2"/>
      <c r="P189" s="2"/>
      <c r="Q189" s="2"/>
      <c r="R189" s="2"/>
      <c r="S189" s="2"/>
      <c r="T189" s="2"/>
      <c r="U189" s="2"/>
      <c r="V189" s="2"/>
      <c r="W189" s="2"/>
      <c r="Y189" s="2"/>
      <c r="Z189" s="2"/>
    </row>
    <row r="190" spans="13:26" ht="15" customHeight="1" x14ac:dyDescent="0.2">
      <c r="M190" s="2"/>
      <c r="O190" s="2"/>
      <c r="P190" s="2"/>
      <c r="Q190" s="2"/>
      <c r="R190" s="2"/>
      <c r="S190" s="2"/>
      <c r="T190" s="2"/>
      <c r="U190" s="2"/>
      <c r="V190" s="2"/>
      <c r="W190" s="2"/>
      <c r="Y190" s="2"/>
      <c r="Z190" s="2"/>
    </row>
    <row r="191" spans="13:26" ht="15" customHeight="1" x14ac:dyDescent="0.2">
      <c r="M191" s="2"/>
      <c r="O191" s="2"/>
      <c r="P191" s="2"/>
      <c r="Q191" s="2"/>
      <c r="R191" s="2"/>
      <c r="S191" s="2"/>
      <c r="T191" s="2"/>
      <c r="U191" s="2"/>
      <c r="V191" s="2"/>
      <c r="W191" s="2"/>
      <c r="Y191" s="2"/>
      <c r="Z191" s="2"/>
    </row>
    <row r="192" spans="13:26" ht="15" customHeight="1" x14ac:dyDescent="0.2">
      <c r="M192" s="2"/>
      <c r="O192" s="2"/>
      <c r="P192" s="2"/>
      <c r="Q192" s="2"/>
      <c r="R192" s="2"/>
      <c r="S192" s="2"/>
      <c r="T192" s="2"/>
      <c r="U192" s="2"/>
      <c r="V192" s="2"/>
      <c r="W192" s="2"/>
      <c r="Y192" s="2"/>
      <c r="Z192" s="2"/>
    </row>
    <row r="193" spans="13:26" ht="15" customHeight="1" x14ac:dyDescent="0.2">
      <c r="M193" s="2"/>
      <c r="O193" s="2"/>
      <c r="P193" s="2"/>
      <c r="Q193" s="2"/>
      <c r="R193" s="2"/>
      <c r="S193" s="2"/>
      <c r="T193" s="2"/>
      <c r="U193" s="2"/>
      <c r="V193" s="2"/>
      <c r="W193" s="2"/>
      <c r="Y193" s="2"/>
      <c r="Z193" s="2"/>
    </row>
    <row r="194" spans="13:26" ht="15" customHeight="1" x14ac:dyDescent="0.2">
      <c r="M194" s="2"/>
      <c r="O194" s="2"/>
      <c r="P194" s="2"/>
      <c r="Q194" s="2"/>
      <c r="R194" s="2"/>
      <c r="S194" s="2"/>
      <c r="T194" s="2"/>
      <c r="U194" s="2"/>
      <c r="V194" s="2"/>
      <c r="W194" s="2"/>
      <c r="Y194" s="2"/>
      <c r="Z194" s="2"/>
    </row>
  </sheetData>
  <mergeCells count="25">
    <mergeCell ref="O137:P137"/>
    <mergeCell ref="F15:M15"/>
    <mergeCell ref="F23:G23"/>
    <mergeCell ref="F19:M19"/>
    <mergeCell ref="F25:G25"/>
    <mergeCell ref="K9:L9"/>
    <mergeCell ref="V33:W33"/>
    <mergeCell ref="V35:W35"/>
    <mergeCell ref="O122:P122"/>
    <mergeCell ref="B1:D1"/>
    <mergeCell ref="K3:L3"/>
    <mergeCell ref="K7:L7"/>
    <mergeCell ref="G3:H3"/>
    <mergeCell ref="F1:M1"/>
    <mergeCell ref="O3:P3"/>
    <mergeCell ref="AY12:BA12"/>
    <mergeCell ref="AF51:AG51"/>
    <mergeCell ref="O107:P107"/>
    <mergeCell ref="O71:P71"/>
    <mergeCell ref="O37:P37"/>
    <mergeCell ref="AY16:BA16"/>
    <mergeCell ref="AF19:AG19"/>
    <mergeCell ref="AR19:AS19"/>
    <mergeCell ref="AN19:AO19"/>
    <mergeCell ref="AJ19:AK19"/>
  </mergeCells>
  <phoneticPr fontId="0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D852-DC5C-44E3-8006-C7BDB28B56C1}">
  <dimension ref="B1:BD98"/>
  <sheetViews>
    <sheetView workbookViewId="0">
      <selection activeCell="AZ18" sqref="AZ18"/>
    </sheetView>
  </sheetViews>
  <sheetFormatPr baseColWidth="10" defaultColWidth="10.7109375" defaultRowHeight="15" customHeight="1" outlineLevelCol="1" x14ac:dyDescent="0.2"/>
  <cols>
    <col min="1" max="1" width="4.7109375" style="1" customWidth="1"/>
    <col min="2" max="4" width="11.42578125" style="1" customWidth="1"/>
    <col min="5" max="5" width="4.7109375" style="1" customWidth="1"/>
    <col min="6" max="6" width="15.7109375" style="1" customWidth="1"/>
    <col min="7" max="7" width="14.42578125" style="1" customWidth="1"/>
    <col min="8" max="8" width="13.140625" style="1" customWidth="1"/>
    <col min="9" max="9" width="14.140625" style="1" customWidth="1"/>
    <col min="10" max="10" width="16.42578125" style="1" bestFit="1" customWidth="1"/>
    <col min="11" max="11" width="5.7109375" style="1" customWidth="1"/>
    <col min="12" max="12" width="5.7109375" style="1" customWidth="1" outlineLevel="1"/>
    <col min="13" max="14" width="4.7109375" style="1" customWidth="1" outlineLevel="1"/>
    <col min="15" max="24" width="7.7109375" style="1" hidden="1" customWidth="1" outlineLevel="1"/>
    <col min="25" max="28" width="7.7109375" style="1" hidden="1" customWidth="1"/>
    <col min="29" max="30" width="5.7109375" style="1" hidden="1" customWidth="1"/>
    <col min="31" max="31" width="9.28515625" style="1" hidden="1" customWidth="1"/>
    <col min="32" max="44" width="5.7109375" style="1" hidden="1" customWidth="1"/>
    <col min="45" max="45" width="10.7109375" style="2" hidden="1" customWidth="1"/>
    <col min="46" max="46" width="10.5703125" style="2" hidden="1" customWidth="1"/>
    <col min="47" max="47" width="11.42578125" style="2" hidden="1" customWidth="1"/>
    <col min="48" max="48" width="13.5703125" style="2" hidden="1" customWidth="1"/>
    <col min="49" max="49" width="10.7109375" style="1" hidden="1" customWidth="1"/>
    <col min="50" max="56" width="10.7109375" style="1" customWidth="1"/>
    <col min="57" max="16384" width="10.7109375" style="1"/>
  </cols>
  <sheetData>
    <row r="1" spans="2:56" ht="24.95" customHeight="1" thickTop="1" thickBot="1" x14ac:dyDescent="0.25">
      <c r="B1" s="905" t="s">
        <v>80</v>
      </c>
      <c r="C1" s="906"/>
      <c r="D1" s="907"/>
      <c r="F1" s="905" t="s">
        <v>94</v>
      </c>
      <c r="G1" s="906"/>
      <c r="H1" s="906"/>
      <c r="I1" s="906"/>
      <c r="J1" s="906"/>
      <c r="K1" s="906"/>
      <c r="L1" s="906"/>
      <c r="M1" s="907"/>
      <c r="O1" s="16" t="s">
        <v>9</v>
      </c>
      <c r="R1"/>
      <c r="S1"/>
      <c r="T1"/>
      <c r="U1"/>
      <c r="V1"/>
      <c r="W1"/>
      <c r="X1"/>
      <c r="Y1"/>
      <c r="Z1"/>
      <c r="AA1"/>
      <c r="AT1" s="2" t="s">
        <v>288</v>
      </c>
      <c r="AU1" s="2" t="s">
        <v>292</v>
      </c>
      <c r="AV1" s="2" t="s">
        <v>293</v>
      </c>
    </row>
    <row r="2" spans="2:56" ht="15" customHeight="1" thickTop="1" thickBot="1" x14ac:dyDescent="0.25">
      <c r="B2" s="33"/>
      <c r="D2" s="34"/>
      <c r="F2" s="33"/>
      <c r="M2" s="34"/>
      <c r="O2" s="8"/>
      <c r="P2" s="947" t="s">
        <v>10</v>
      </c>
      <c r="Q2" s="961"/>
      <c r="R2" s="961"/>
      <c r="S2" s="962" t="s">
        <v>11</v>
      </c>
      <c r="T2" s="963"/>
      <c r="U2" s="963"/>
      <c r="V2" s="957" t="s">
        <v>10</v>
      </c>
      <c r="W2" s="958"/>
      <c r="X2" s="958"/>
      <c r="Y2" s="964" t="s">
        <v>11</v>
      </c>
      <c r="Z2" s="964"/>
      <c r="AA2" s="965"/>
      <c r="AM2"/>
      <c r="AN2"/>
      <c r="AO2"/>
      <c r="AP2"/>
      <c r="AQ2"/>
      <c r="AR2"/>
      <c r="AS2" s="4" t="s">
        <v>289</v>
      </c>
      <c r="AT2" s="4">
        <v>565</v>
      </c>
      <c r="AU2" s="2">
        <v>0.34200000000000003</v>
      </c>
      <c r="AV2" s="2">
        <f>AT2*AU2</f>
        <v>193.23000000000002</v>
      </c>
    </row>
    <row r="3" spans="2:56" ht="15" customHeight="1" thickBot="1" x14ac:dyDescent="0.25">
      <c r="B3" s="61" t="s">
        <v>81</v>
      </c>
      <c r="C3" s="56" t="s">
        <v>115</v>
      </c>
      <c r="D3" s="34"/>
      <c r="F3" s="33"/>
      <c r="G3" s="914" t="s">
        <v>47</v>
      </c>
      <c r="H3" s="915"/>
      <c r="K3" s="908" t="s">
        <v>58</v>
      </c>
      <c r="L3" s="909"/>
      <c r="M3" s="34"/>
      <c r="O3" s="8"/>
      <c r="P3" s="429" t="s">
        <v>189</v>
      </c>
      <c r="Q3" s="430" t="s">
        <v>14</v>
      </c>
      <c r="R3" s="431" t="s">
        <v>190</v>
      </c>
      <c r="S3" s="432" t="s">
        <v>189</v>
      </c>
      <c r="T3" s="432" t="s">
        <v>14</v>
      </c>
      <c r="U3" s="433" t="s">
        <v>190</v>
      </c>
      <c r="V3" s="132" t="s">
        <v>189</v>
      </c>
      <c r="W3" s="115" t="s">
        <v>14</v>
      </c>
      <c r="X3" s="134" t="s">
        <v>190</v>
      </c>
      <c r="Y3" s="439" t="s">
        <v>189</v>
      </c>
      <c r="Z3" s="439" t="s">
        <v>14</v>
      </c>
      <c r="AA3" s="440" t="s">
        <v>190</v>
      </c>
      <c r="AM3"/>
      <c r="AN3" s="4"/>
      <c r="AO3" s="4"/>
      <c r="AP3" s="4"/>
      <c r="AQ3" s="4"/>
      <c r="AR3" s="4"/>
      <c r="AS3" s="4"/>
      <c r="AT3" s="4"/>
      <c r="AU3" s="4"/>
    </row>
    <row r="4" spans="2:56" ht="15" customHeight="1" thickBot="1" x14ac:dyDescent="0.25">
      <c r="B4" s="33"/>
      <c r="D4" s="34"/>
      <c r="F4" s="33"/>
      <c r="M4" s="34"/>
      <c r="O4" s="8" t="s">
        <v>1</v>
      </c>
      <c r="P4" s="212" t="s">
        <v>5</v>
      </c>
      <c r="Q4" s="17" t="s">
        <v>5</v>
      </c>
      <c r="R4" s="17" t="s">
        <v>5</v>
      </c>
      <c r="S4" s="329" t="s">
        <v>5</v>
      </c>
      <c r="T4" s="329" t="s">
        <v>5</v>
      </c>
      <c r="U4" s="435" t="s">
        <v>5</v>
      </c>
      <c r="V4" s="212" t="s">
        <v>12</v>
      </c>
      <c r="W4" s="17" t="s">
        <v>12</v>
      </c>
      <c r="X4" s="17" t="s">
        <v>12</v>
      </c>
      <c r="Y4" s="329" t="s">
        <v>12</v>
      </c>
      <c r="Z4" s="329" t="s">
        <v>12</v>
      </c>
      <c r="AA4" s="435" t="s">
        <v>12</v>
      </c>
      <c r="AF4" s="1" t="s">
        <v>40</v>
      </c>
      <c r="AI4" s="1" t="s">
        <v>41</v>
      </c>
      <c r="AL4" s="1" t="s">
        <v>185</v>
      </c>
      <c r="AM4"/>
      <c r="AN4" s="4"/>
      <c r="AO4" s="4" t="s">
        <v>186</v>
      </c>
      <c r="AP4" s="4"/>
      <c r="AQ4" s="4"/>
      <c r="AR4" s="4"/>
      <c r="AS4" s="4" t="s">
        <v>290</v>
      </c>
      <c r="AT4" s="4">
        <f>C7+C8</f>
        <v>160</v>
      </c>
      <c r="AU4" s="4">
        <v>0.41</v>
      </c>
      <c r="AV4" s="2">
        <f>AT4*AU4</f>
        <v>65.599999999999994</v>
      </c>
    </row>
    <row r="5" spans="2:56" ht="15" customHeight="1" thickBot="1" x14ac:dyDescent="0.25">
      <c r="B5" s="62" t="s">
        <v>82</v>
      </c>
      <c r="C5" s="57">
        <v>565</v>
      </c>
      <c r="D5" s="44" t="s">
        <v>65</v>
      </c>
      <c r="F5" s="68" t="s">
        <v>75</v>
      </c>
      <c r="G5" s="5" t="s">
        <v>70</v>
      </c>
      <c r="H5" s="92">
        <v>105</v>
      </c>
      <c r="M5" s="34"/>
      <c r="O5" s="1">
        <v>0</v>
      </c>
      <c r="P5" s="229">
        <v>225</v>
      </c>
      <c r="Q5" s="3">
        <v>255</v>
      </c>
      <c r="R5" s="3">
        <v>285</v>
      </c>
      <c r="S5" s="325">
        <v>315</v>
      </c>
      <c r="T5" s="434">
        <v>360</v>
      </c>
      <c r="U5" s="234">
        <v>410</v>
      </c>
      <c r="V5" s="229">
        <v>480</v>
      </c>
      <c r="W5" s="3">
        <v>535</v>
      </c>
      <c r="X5" s="3">
        <v>590</v>
      </c>
      <c r="Y5" s="325">
        <v>570</v>
      </c>
      <c r="Z5" s="434">
        <v>640</v>
      </c>
      <c r="AA5" s="234">
        <v>715</v>
      </c>
      <c r="AC5" s="2"/>
      <c r="AD5" s="2"/>
      <c r="AE5" s="406" t="s">
        <v>27</v>
      </c>
      <c r="AF5" s="254">
        <v>225</v>
      </c>
      <c r="AG5" s="238">
        <v>0.02</v>
      </c>
      <c r="AH5" s="2"/>
      <c r="AI5" s="412">
        <v>315</v>
      </c>
      <c r="AJ5" s="413">
        <v>3.6249999999999998E-2</v>
      </c>
      <c r="AL5" s="423">
        <v>480</v>
      </c>
      <c r="AM5" s="238">
        <v>4.1250000000000002E-2</v>
      </c>
      <c r="AN5"/>
      <c r="AO5" s="412">
        <v>570</v>
      </c>
      <c r="AP5" s="413">
        <v>5.7500000000000002E-2</v>
      </c>
      <c r="AQ5"/>
      <c r="AR5"/>
      <c r="AS5" s="4" t="s">
        <v>155</v>
      </c>
      <c r="AT5" s="4">
        <f>C9+C10</f>
        <v>75</v>
      </c>
      <c r="AU5" s="2">
        <v>1.19</v>
      </c>
      <c r="AV5" s="2">
        <f>AT5*AU5</f>
        <v>89.25</v>
      </c>
      <c r="AW5" s="2"/>
      <c r="AX5" s="2"/>
      <c r="AY5" s="2"/>
      <c r="AZ5" s="2"/>
      <c r="BA5" s="2"/>
      <c r="BB5" s="2"/>
      <c r="BC5" s="2"/>
      <c r="BD5" s="2"/>
    </row>
    <row r="6" spans="2:56" ht="15" customHeight="1" thickBot="1" x14ac:dyDescent="0.25">
      <c r="B6" s="62"/>
      <c r="D6" s="44"/>
      <c r="F6" s="68" t="s">
        <v>74</v>
      </c>
      <c r="G6" s="5" t="s">
        <v>71</v>
      </c>
      <c r="H6" s="93">
        <v>75</v>
      </c>
      <c r="J6" s="5" t="s">
        <v>95</v>
      </c>
      <c r="K6" s="85" t="str">
        <f>IF(X98&lt;0,"D","G")</f>
        <v>D</v>
      </c>
      <c r="L6" s="86">
        <f>IF(X98&gt;0,X98,-X98)</f>
        <v>2.4999999999999991</v>
      </c>
      <c r="M6" s="34"/>
      <c r="O6" s="27">
        <v>4000</v>
      </c>
      <c r="P6" s="229">
        <v>305</v>
      </c>
      <c r="Q6" s="3">
        <v>345</v>
      </c>
      <c r="R6" s="3">
        <v>390</v>
      </c>
      <c r="S6" s="325">
        <v>460</v>
      </c>
      <c r="T6" s="434">
        <v>530</v>
      </c>
      <c r="U6" s="234">
        <v>615</v>
      </c>
      <c r="V6" s="229">
        <v>645</v>
      </c>
      <c r="W6" s="3">
        <v>720</v>
      </c>
      <c r="X6" s="3">
        <v>800</v>
      </c>
      <c r="Y6" s="325">
        <v>800</v>
      </c>
      <c r="Z6" s="434">
        <v>905</v>
      </c>
      <c r="AA6" s="234">
        <v>1025</v>
      </c>
      <c r="AB6" s="16"/>
      <c r="AC6" s="839" t="s">
        <v>187</v>
      </c>
      <c r="AD6" s="956"/>
      <c r="AE6" s="407" t="s">
        <v>14</v>
      </c>
      <c r="AF6" s="252">
        <v>255</v>
      </c>
      <c r="AG6" s="408">
        <v>2.2499999999999999E-2</v>
      </c>
      <c r="AI6" s="414">
        <v>360</v>
      </c>
      <c r="AJ6" s="415">
        <v>4.2500000000000003E-2</v>
      </c>
      <c r="AL6" s="424">
        <v>535</v>
      </c>
      <c r="AM6" s="408">
        <v>4.6249999999999999E-2</v>
      </c>
      <c r="AN6"/>
      <c r="AO6" s="414">
        <v>640</v>
      </c>
      <c r="AP6" s="415">
        <v>6.6250000000000003E-2</v>
      </c>
      <c r="AQ6"/>
      <c r="AR6"/>
      <c r="AS6" s="4" t="s">
        <v>86</v>
      </c>
      <c r="AT6" s="4">
        <f>C11</f>
        <v>20</v>
      </c>
      <c r="AU6" s="2">
        <v>1.9</v>
      </c>
      <c r="AV6" s="2">
        <f>AT6*AU6</f>
        <v>38</v>
      </c>
    </row>
    <row r="7" spans="2:56" ht="15" customHeight="1" thickBot="1" x14ac:dyDescent="0.25">
      <c r="B7" s="62" t="s">
        <v>83</v>
      </c>
      <c r="C7" s="92">
        <v>80</v>
      </c>
      <c r="D7" s="44" t="s">
        <v>65</v>
      </c>
      <c r="F7" s="68" t="s">
        <v>69</v>
      </c>
      <c r="G7" s="5" t="s">
        <v>72</v>
      </c>
      <c r="H7" s="93">
        <v>5</v>
      </c>
      <c r="J7" s="5" t="s">
        <v>73</v>
      </c>
      <c r="K7" s="903">
        <f>X96</f>
        <v>-4.3301270189221945</v>
      </c>
      <c r="L7" s="904"/>
      <c r="M7" s="34"/>
      <c r="O7" s="28">
        <v>8000</v>
      </c>
      <c r="P7" s="230">
        <v>425</v>
      </c>
      <c r="Q7" s="436">
        <v>475</v>
      </c>
      <c r="R7" s="436">
        <v>535</v>
      </c>
      <c r="S7" s="437">
        <v>700</v>
      </c>
      <c r="T7" s="437">
        <v>820</v>
      </c>
      <c r="U7" s="438">
        <v>960</v>
      </c>
      <c r="V7" s="230">
        <v>890</v>
      </c>
      <c r="W7" s="436">
        <v>1000</v>
      </c>
      <c r="X7" s="436">
        <v>1125</v>
      </c>
      <c r="Y7" s="437">
        <v>1165</v>
      </c>
      <c r="Z7" s="437">
        <v>1350</v>
      </c>
      <c r="AA7" s="438">
        <v>1550</v>
      </c>
      <c r="AB7" s="16"/>
      <c r="AE7" s="409" t="s">
        <v>28</v>
      </c>
      <c r="AF7" s="410">
        <v>285</v>
      </c>
      <c r="AG7" s="411">
        <v>2.6249999999999999E-2</v>
      </c>
      <c r="AI7" s="416">
        <v>410</v>
      </c>
      <c r="AJ7" s="417">
        <v>5.1249999999999997E-2</v>
      </c>
      <c r="AL7" s="425">
        <v>590</v>
      </c>
      <c r="AM7" s="411">
        <v>5.2499999999999998E-2</v>
      </c>
      <c r="AN7"/>
      <c r="AO7" s="426">
        <v>715</v>
      </c>
      <c r="AP7" s="427">
        <v>7.7499999999999999E-2</v>
      </c>
      <c r="AQ7"/>
      <c r="AR7"/>
      <c r="AS7" s="4"/>
      <c r="AT7" s="4"/>
    </row>
    <row r="8" spans="2:56" ht="15" customHeight="1" thickBot="1" x14ac:dyDescent="0.25">
      <c r="B8" s="62" t="s">
        <v>84</v>
      </c>
      <c r="C8" s="93">
        <v>80</v>
      </c>
      <c r="D8" s="44" t="s">
        <v>65</v>
      </c>
      <c r="F8" s="68" t="s">
        <v>65</v>
      </c>
      <c r="G8" s="5" t="s">
        <v>2</v>
      </c>
      <c r="H8" s="70">
        <f>C22</f>
        <v>898.98</v>
      </c>
      <c r="M8" s="34"/>
      <c r="P8"/>
      <c r="Q8"/>
      <c r="R8"/>
      <c r="S8"/>
      <c r="T8"/>
      <c r="U8"/>
      <c r="V8"/>
      <c r="W8"/>
      <c r="X8"/>
      <c r="Y8"/>
      <c r="Z8"/>
      <c r="AA8"/>
      <c r="AB8" s="16"/>
      <c r="AL8" s="16"/>
      <c r="AM8" s="21"/>
      <c r="AN8"/>
      <c r="AO8"/>
      <c r="AP8"/>
      <c r="AQ8"/>
      <c r="AR8"/>
      <c r="AS8" s="4" t="s">
        <v>291</v>
      </c>
      <c r="AT8" s="620">
        <f>C20</f>
        <v>78.97999999999999</v>
      </c>
      <c r="AU8" s="2">
        <v>1.1200000000000001</v>
      </c>
      <c r="AV8" s="2">
        <f>AT8*AU8</f>
        <v>88.457599999999999</v>
      </c>
    </row>
    <row r="9" spans="2:56" ht="15" customHeight="1" thickBot="1" x14ac:dyDescent="0.25">
      <c r="B9" s="62" t="s">
        <v>85</v>
      </c>
      <c r="C9" s="93">
        <v>75</v>
      </c>
      <c r="D9" s="44" t="s">
        <v>65</v>
      </c>
      <c r="F9" s="68" t="s">
        <v>66</v>
      </c>
      <c r="G9" s="5" t="s">
        <v>7</v>
      </c>
      <c r="H9" s="93">
        <v>426</v>
      </c>
      <c r="I9" s="60" t="str">
        <f>IF(H9&gt;8000,"8000 ft max","")</f>
        <v/>
      </c>
      <c r="J9" s="5" t="s">
        <v>96</v>
      </c>
      <c r="K9" s="916">
        <f>IF(H11&gt;1013,H9-(H11-1013)*28,H9+(1013-H11)*28)</f>
        <v>426</v>
      </c>
      <c r="L9" s="917"/>
      <c r="M9" s="34"/>
      <c r="O9" s="2" t="s">
        <v>42</v>
      </c>
      <c r="P9" s="48">
        <f>AF5+AG5*$K$9</f>
        <v>233.52</v>
      </c>
      <c r="Q9" s="48">
        <f>AF6+AG6*$K$9</f>
        <v>264.58499999999998</v>
      </c>
      <c r="R9" s="48">
        <f>AF7+AG7*$K$9</f>
        <v>296.1825</v>
      </c>
      <c r="S9" s="396">
        <f>AI5+AJ5*$K$9</f>
        <v>330.4425</v>
      </c>
      <c r="T9" s="396">
        <f>AI6+AJ6*$K$9</f>
        <v>378.10500000000002</v>
      </c>
      <c r="U9" s="396">
        <f>AI7+AJ7*$K$9</f>
        <v>431.83249999999998</v>
      </c>
      <c r="V9" s="48">
        <f>AL5+AM5*$K$9</f>
        <v>497.57249999999999</v>
      </c>
      <c r="W9" s="48">
        <f>AL6+AM6*$K$9</f>
        <v>554.70249999999999</v>
      </c>
      <c r="X9" s="48">
        <f>AL7+AM7*$K$9</f>
        <v>612.36500000000001</v>
      </c>
      <c r="Y9" s="396">
        <f>AO5+AP5*$K$9</f>
        <v>594.495</v>
      </c>
      <c r="Z9" s="396">
        <f>AO6+AP6*$K$9</f>
        <v>668.22249999999997</v>
      </c>
      <c r="AA9" s="396">
        <f>AO7+AP7*$K$9</f>
        <v>748.01499999999999</v>
      </c>
      <c r="AB9" s="16"/>
      <c r="AC9" s="237"/>
      <c r="AD9" s="237"/>
      <c r="AE9" s="405"/>
      <c r="AF9" s="237" t="s">
        <v>40</v>
      </c>
      <c r="AG9" s="237"/>
      <c r="AH9" s="237"/>
      <c r="AI9" s="237" t="s">
        <v>41</v>
      </c>
      <c r="AJ9" s="237"/>
      <c r="AK9" s="237"/>
      <c r="AL9" s="237" t="s">
        <v>186</v>
      </c>
      <c r="AM9" s="237"/>
      <c r="AN9" s="237"/>
      <c r="AO9" t="s">
        <v>186</v>
      </c>
      <c r="AP9"/>
      <c r="AQ9"/>
      <c r="AR9"/>
      <c r="AS9" s="4"/>
      <c r="AT9" s="4"/>
    </row>
    <row r="10" spans="2:56" ht="15" customHeight="1" thickBot="1" x14ac:dyDescent="0.25">
      <c r="B10" s="62" t="s">
        <v>85</v>
      </c>
      <c r="C10" s="93"/>
      <c r="D10" s="44" t="s">
        <v>65</v>
      </c>
      <c r="F10" s="68" t="s">
        <v>67</v>
      </c>
      <c r="G10" s="5" t="s">
        <v>0</v>
      </c>
      <c r="H10" s="93">
        <v>32</v>
      </c>
      <c r="I10" s="60" t="str">
        <f>IF(H10&gt;35,"35° max","")</f>
        <v/>
      </c>
      <c r="M10" s="34"/>
      <c r="P10"/>
      <c r="Q10"/>
      <c r="R10"/>
      <c r="S10"/>
      <c r="T10"/>
      <c r="U10"/>
      <c r="V10"/>
      <c r="W10"/>
      <c r="X10"/>
      <c r="Y10"/>
      <c r="Z10"/>
      <c r="AA10"/>
      <c r="AB10" s="16"/>
      <c r="AE10" s="418" t="s">
        <v>27</v>
      </c>
      <c r="AF10" s="254">
        <v>185</v>
      </c>
      <c r="AG10" s="238">
        <v>0.03</v>
      </c>
      <c r="AI10" s="412">
        <v>220</v>
      </c>
      <c r="AJ10" s="413">
        <v>0.06</v>
      </c>
      <c r="AL10" s="423">
        <v>400</v>
      </c>
      <c r="AM10" s="238">
        <v>6.1249999999999999E-2</v>
      </c>
      <c r="AN10"/>
      <c r="AO10" s="412">
        <v>435</v>
      </c>
      <c r="AP10" s="413">
        <v>9.1249999999999998E-2</v>
      </c>
      <c r="AQ10"/>
      <c r="AR10"/>
      <c r="AS10" s="4" t="s">
        <v>92</v>
      </c>
      <c r="AT10" s="4">
        <f>SUM(AT2:AT8)</f>
        <v>898.98</v>
      </c>
      <c r="AU10" s="629">
        <f>AV10/AT10</f>
        <v>0.52786224387639324</v>
      </c>
      <c r="AV10" s="2">
        <f>SUM(AV2:AV8)</f>
        <v>474.53760000000005</v>
      </c>
    </row>
    <row r="11" spans="2:56" ht="15" customHeight="1" thickTop="1" thickBot="1" x14ac:dyDescent="0.25">
      <c r="B11" s="62" t="s">
        <v>86</v>
      </c>
      <c r="C11" s="94">
        <v>20</v>
      </c>
      <c r="D11" s="44" t="s">
        <v>65</v>
      </c>
      <c r="F11" s="68" t="s">
        <v>68</v>
      </c>
      <c r="G11" s="5" t="s">
        <v>8</v>
      </c>
      <c r="H11" s="93">
        <v>1013</v>
      </c>
      <c r="J11" s="43" t="s">
        <v>33</v>
      </c>
      <c r="K11" s="65" t="s">
        <v>57</v>
      </c>
      <c r="M11" s="34"/>
      <c r="O11" s="2" t="s">
        <v>43</v>
      </c>
      <c r="P11" s="48">
        <f>AF10+AG10*$K$9</f>
        <v>197.78</v>
      </c>
      <c r="Q11" s="48">
        <f>AF11+AG11*$K$9</f>
        <v>228.845</v>
      </c>
      <c r="R11" s="48">
        <f>AF12+AG12*$K$9</f>
        <v>260.4425</v>
      </c>
      <c r="S11" s="396">
        <f>AI10+AJ10*$K$9</f>
        <v>245.56</v>
      </c>
      <c r="T11" s="396">
        <f>AI11+AJ11*$K$9</f>
        <v>270.88499999999999</v>
      </c>
      <c r="U11" s="396">
        <f>AI12+AJ12*$K$9</f>
        <v>306.74250000000001</v>
      </c>
      <c r="V11" s="48">
        <f>AL10+AM10*$K$9</f>
        <v>426.09249999999997</v>
      </c>
      <c r="W11" s="48">
        <f>AL11+AM11*$K$9</f>
        <v>469.82</v>
      </c>
      <c r="X11" s="48">
        <f>AL12+AM12*$K$9</f>
        <v>509.61250000000001</v>
      </c>
      <c r="Y11" s="396">
        <f>AO10+AP10*$K$9</f>
        <v>473.8725</v>
      </c>
      <c r="Z11" s="396">
        <f>AO11+AP11*$K$9</f>
        <v>507.39249999999998</v>
      </c>
      <c r="AA11" s="396">
        <f>AO12+AP12*$K$9</f>
        <v>555.91250000000002</v>
      </c>
      <c r="AB11" s="16"/>
      <c r="AC11" s="955" t="s">
        <v>188</v>
      </c>
      <c r="AD11" s="955"/>
      <c r="AE11" s="419" t="s">
        <v>14</v>
      </c>
      <c r="AF11" s="252">
        <v>215</v>
      </c>
      <c r="AG11" s="408">
        <v>3.2500000000000001E-2</v>
      </c>
      <c r="AI11" s="414">
        <v>240</v>
      </c>
      <c r="AJ11" s="415">
        <v>7.2499999999999995E-2</v>
      </c>
      <c r="AL11" s="424">
        <v>440</v>
      </c>
      <c r="AM11" s="408">
        <v>7.0000000000000007E-2</v>
      </c>
      <c r="AN11"/>
      <c r="AO11" s="414">
        <v>460</v>
      </c>
      <c r="AP11" s="415">
        <v>0.11125</v>
      </c>
      <c r="AQ11"/>
      <c r="AR11"/>
      <c r="AS11" s="4"/>
      <c r="AT11" s="4"/>
    </row>
    <row r="12" spans="2:56" ht="15" customHeight="1" thickBot="1" x14ac:dyDescent="0.25">
      <c r="B12" s="62"/>
      <c r="C12" s="58" t="s">
        <v>87</v>
      </c>
      <c r="D12" s="44" t="s">
        <v>88</v>
      </c>
      <c r="F12" s="68"/>
      <c r="G12" s="5" t="s">
        <v>16</v>
      </c>
      <c r="H12" s="95" t="s">
        <v>64</v>
      </c>
      <c r="I12" s="79" t="str">
        <f>IF(H12&lt;&gt;"d",IF(H12&lt;&gt;"h","choisissez d ou h",""),"")</f>
        <v/>
      </c>
      <c r="J12" s="43" t="s">
        <v>32</v>
      </c>
      <c r="K12" s="66" t="s">
        <v>64</v>
      </c>
      <c r="M12" s="34"/>
      <c r="P12"/>
      <c r="Q12"/>
      <c r="R12"/>
      <c r="S12"/>
      <c r="T12"/>
      <c r="U12"/>
      <c r="V12"/>
      <c r="W12"/>
      <c r="X12"/>
      <c r="Y12"/>
      <c r="Z12"/>
      <c r="AA12"/>
      <c r="AB12" s="16"/>
      <c r="AC12" s="237"/>
      <c r="AD12" s="237"/>
      <c r="AE12" s="420" t="s">
        <v>28</v>
      </c>
      <c r="AF12" s="410">
        <v>245</v>
      </c>
      <c r="AG12" s="411">
        <v>3.6249999999999998E-2</v>
      </c>
      <c r="AI12" s="397">
        <v>270</v>
      </c>
      <c r="AJ12" s="398">
        <v>8.6249999999999993E-2</v>
      </c>
      <c r="AL12" s="425">
        <v>475</v>
      </c>
      <c r="AM12" s="411">
        <v>8.1250000000000003E-2</v>
      </c>
      <c r="AN12"/>
      <c r="AO12" s="421">
        <v>500</v>
      </c>
      <c r="AP12" s="422">
        <v>0.13125000000000001</v>
      </c>
      <c r="AQ12"/>
      <c r="AR12"/>
      <c r="AS12" s="4"/>
      <c r="AT12" s="4" t="s">
        <v>300</v>
      </c>
      <c r="AU12" s="597">
        <f>(672.6457399*AU10) + 612.1076233</f>
        <v>967.17191289751077</v>
      </c>
    </row>
    <row r="13" spans="2:56" ht="15" customHeight="1" thickTop="1" thickBot="1" x14ac:dyDescent="0.25">
      <c r="B13" s="62" t="s">
        <v>89</v>
      </c>
      <c r="C13" s="105">
        <v>110</v>
      </c>
      <c r="D13" s="59"/>
      <c r="F13" s="68" t="s">
        <v>69</v>
      </c>
      <c r="G13" s="5" t="s">
        <v>22</v>
      </c>
      <c r="H13" s="108">
        <f>K7</f>
        <v>-4.3301270189221945</v>
      </c>
      <c r="M13" s="34"/>
      <c r="O13" s="2" t="s">
        <v>23</v>
      </c>
      <c r="P13" s="399">
        <f>IF($K$9&gt;=4000,P11,P9)</f>
        <v>233.52</v>
      </c>
      <c r="Q13" s="308">
        <f t="shared" ref="Q13:AA13" si="0">IF($K$9&gt;=4000,Q11,Q9)</f>
        <v>264.58499999999998</v>
      </c>
      <c r="R13" s="308">
        <f t="shared" si="0"/>
        <v>296.1825</v>
      </c>
      <c r="S13" s="301">
        <f t="shared" si="0"/>
        <v>330.4425</v>
      </c>
      <c r="T13" s="301">
        <f t="shared" si="0"/>
        <v>378.10500000000002</v>
      </c>
      <c r="U13" s="452">
        <f t="shared" si="0"/>
        <v>431.83249999999998</v>
      </c>
      <c r="V13" s="399">
        <f t="shared" si="0"/>
        <v>497.57249999999999</v>
      </c>
      <c r="W13" s="308">
        <f t="shared" si="0"/>
        <v>554.70249999999999</v>
      </c>
      <c r="X13" s="308">
        <f t="shared" si="0"/>
        <v>612.36500000000001</v>
      </c>
      <c r="Y13" s="301">
        <f t="shared" si="0"/>
        <v>594.495</v>
      </c>
      <c r="Z13" s="301">
        <f t="shared" si="0"/>
        <v>668.22249999999997</v>
      </c>
      <c r="AA13" s="400">
        <f t="shared" si="0"/>
        <v>748.01499999999999</v>
      </c>
      <c r="AB13" s="16"/>
      <c r="AL13" s="16"/>
      <c r="AM13" s="21"/>
      <c r="AN13"/>
      <c r="AO13"/>
      <c r="AP13"/>
      <c r="AQ13"/>
      <c r="AR13"/>
      <c r="AS13" s="4"/>
      <c r="AT13" s="4"/>
    </row>
    <row r="14" spans="2:56" ht="15" customHeight="1" thickBot="1" x14ac:dyDescent="0.25">
      <c r="B14" s="62"/>
      <c r="C14" s="232" t="str">
        <f>IF(C13&gt;110,"max 110 Li","")</f>
        <v/>
      </c>
      <c r="D14" s="59"/>
      <c r="F14" s="33"/>
      <c r="M14" s="34"/>
      <c r="O14" s="2"/>
      <c r="P14"/>
      <c r="Q14"/>
      <c r="R14"/>
      <c r="S14"/>
      <c r="T14"/>
      <c r="U14"/>
      <c r="V14"/>
      <c r="W14"/>
      <c r="X14"/>
      <c r="Y14"/>
      <c r="Z14"/>
      <c r="AA14"/>
      <c r="AB14" s="16"/>
      <c r="AL14" s="16"/>
      <c r="AM14" s="21"/>
      <c r="AN14"/>
      <c r="AO14"/>
      <c r="AP14"/>
      <c r="AQ14"/>
      <c r="AR14"/>
      <c r="AS14" s="4"/>
      <c r="AT14" s="4" t="s">
        <v>301</v>
      </c>
      <c r="AU14" s="959" t="str">
        <f>IF(AU10&lt;0.205,"Hors Centrage AV",IF(AU10&gt;564,"Hors Centrage AR",IF(AU10&lt;0.428,IF(AT10&gt;AU12,"Hors Centrage AV","Centrage Correct"),"Centrage Correct")))</f>
        <v>Centrage Correct</v>
      </c>
      <c r="AV14" s="960"/>
    </row>
    <row r="15" spans="2:56" ht="24.95" customHeight="1" thickBot="1" x14ac:dyDescent="0.25">
      <c r="B15" s="62"/>
      <c r="C15" s="87"/>
      <c r="D15" s="59" t="str">
        <f>IF(C15&gt;40,"max 40 Li","")</f>
        <v/>
      </c>
      <c r="F15" s="918" t="s">
        <v>116</v>
      </c>
      <c r="G15" s="919"/>
      <c r="H15" s="919"/>
      <c r="I15" s="919"/>
      <c r="J15" s="919"/>
      <c r="K15" s="919"/>
      <c r="L15" s="919"/>
      <c r="M15" s="920"/>
      <c r="O15" s="2" t="s">
        <v>106</v>
      </c>
      <c r="P15" s="401">
        <f>15-H9/1000*2</f>
        <v>14.148</v>
      </c>
      <c r="Q15" s="2"/>
      <c r="R15" s="80" t="s">
        <v>107</v>
      </c>
      <c r="S15" s="402">
        <f>H10</f>
        <v>32</v>
      </c>
      <c r="T15"/>
      <c r="U15"/>
      <c r="V15"/>
      <c r="W15"/>
      <c r="X15"/>
      <c r="Y15"/>
      <c r="Z15"/>
      <c r="AA15"/>
      <c r="AB15" s="1" t="s">
        <v>4</v>
      </c>
    </row>
    <row r="16" spans="2:56" ht="15" customHeight="1" thickBot="1" x14ac:dyDescent="0.25">
      <c r="B16" s="62"/>
      <c r="C16" s="87"/>
      <c r="D16" s="59"/>
      <c r="F16" s="33"/>
      <c r="H16" s="77" t="s">
        <v>3</v>
      </c>
      <c r="I16" s="227" t="s">
        <v>97</v>
      </c>
      <c r="M16" s="34"/>
      <c r="O16" s="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M16"/>
      <c r="AN16" s="163"/>
      <c r="AO16" s="163"/>
      <c r="AP16" s="163"/>
      <c r="AQ16" s="163"/>
      <c r="AR16"/>
      <c r="AS16" s="4"/>
    </row>
    <row r="17" spans="2:45" ht="24.95" customHeight="1" thickBot="1" x14ac:dyDescent="0.25">
      <c r="B17" s="63" t="s">
        <v>92</v>
      </c>
      <c r="D17" s="44"/>
      <c r="F17" s="33"/>
      <c r="G17" s="67" t="s">
        <v>98</v>
      </c>
      <c r="H17" s="81">
        <f>U47</f>
        <v>376.13844609643053</v>
      </c>
      <c r="I17" s="82">
        <f>V47</f>
        <v>652.90395921118056</v>
      </c>
      <c r="J17" s="69" t="s">
        <v>48</v>
      </c>
      <c r="M17" s="34"/>
      <c r="O17" s="2"/>
      <c r="P17" s="892" t="s">
        <v>45</v>
      </c>
      <c r="Q17" s="892"/>
      <c r="R17" s="5" t="s">
        <v>5</v>
      </c>
      <c r="S17" s="5" t="s">
        <v>6</v>
      </c>
      <c r="T17"/>
      <c r="U17"/>
      <c r="V17" s="892" t="s">
        <v>44</v>
      </c>
      <c r="W17" s="892"/>
      <c r="X17" s="5" t="s">
        <v>5</v>
      </c>
      <c r="Y17" s="5" t="s">
        <v>6</v>
      </c>
      <c r="Z17"/>
      <c r="AA17"/>
      <c r="AB17" s="1" t="s">
        <v>4</v>
      </c>
      <c r="AC17" s="1" t="s">
        <v>4</v>
      </c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5"/>
      <c r="AR17"/>
      <c r="AS17" s="4"/>
    </row>
    <row r="18" spans="2:45" ht="15" customHeight="1" thickBot="1" x14ac:dyDescent="0.25">
      <c r="B18" s="64" t="s">
        <v>87</v>
      </c>
      <c r="C18" s="57">
        <f>SUM(C13:C17)</f>
        <v>110</v>
      </c>
      <c r="D18" s="44" t="s">
        <v>88</v>
      </c>
      <c r="F18" s="33"/>
      <c r="H18" s="459" t="s">
        <v>191</v>
      </c>
      <c r="I18" s="459" t="s">
        <v>183</v>
      </c>
      <c r="M18" s="34"/>
      <c r="O18" s="2"/>
      <c r="P18" s="839" t="s">
        <v>29</v>
      </c>
      <c r="Q18" s="839"/>
      <c r="R18" s="403">
        <f>IF(S15&gt;=P15,Q13+((R13-Q13)/20)*(S15-P15),Q13-((Q13-P13)/20)*(P15-S15))</f>
        <v>292.7889285</v>
      </c>
      <c r="S18" s="314">
        <f>IF(S15&gt;=P15,W13+((X13-W13)/20)*(S15-P15),W13-((W13-V13)/20)*(P15-S15))</f>
        <v>606.17204749999996</v>
      </c>
      <c r="T18"/>
      <c r="U18"/>
      <c r="V18" s="839" t="s">
        <v>29</v>
      </c>
      <c r="W18" s="839"/>
      <c r="X18" s="362">
        <f>IF(S15&gt;=P15,T13+((U13-T13)/20)*(S15-P15),T13-((T13-S13)/20)*(P15-S15))</f>
        <v>426.06216649999999</v>
      </c>
      <c r="Y18" s="404">
        <f>IF(S15&gt;=P15,Z13+((AA13-Z13)/20)*(S15-P15),Z13-((Z13-Y13)/20)*(P15-S15))</f>
        <v>739.44528549999995</v>
      </c>
      <c r="Z18"/>
      <c r="AA18"/>
      <c r="AC18" s="1" t="s">
        <v>4</v>
      </c>
      <c r="AE18" s="4"/>
      <c r="AF18" s="4"/>
      <c r="AG18" s="4"/>
      <c r="AH18" s="4"/>
      <c r="AI18" s="2"/>
      <c r="AJ18" s="2"/>
      <c r="AK18" s="4"/>
      <c r="AL18" s="4"/>
      <c r="AM18" s="4"/>
      <c r="AN18" s="4"/>
      <c r="AO18" s="2"/>
      <c r="AP18" s="2"/>
      <c r="AQ18"/>
      <c r="AR18"/>
      <c r="AS18" s="4"/>
    </row>
    <row r="19" spans="2:45" ht="24.95" customHeight="1" thickBot="1" x14ac:dyDescent="0.25">
      <c r="B19" s="63" t="s">
        <v>92</v>
      </c>
      <c r="D19" s="51"/>
      <c r="F19" s="918" t="s">
        <v>117</v>
      </c>
      <c r="G19" s="919"/>
      <c r="H19" s="919"/>
      <c r="I19" s="919"/>
      <c r="J19" s="919"/>
      <c r="K19" s="919"/>
      <c r="L19" s="919"/>
      <c r="M19" s="920"/>
      <c r="O19"/>
      <c r="P19"/>
      <c r="Q19"/>
      <c r="R19"/>
      <c r="S19"/>
      <c r="T19"/>
      <c r="U19"/>
      <c r="V19"/>
      <c r="W19"/>
      <c r="X19"/>
      <c r="Y19"/>
      <c r="Z19"/>
      <c r="AA19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/>
      <c r="AS19" s="4"/>
    </row>
    <row r="20" spans="2:45" ht="15" customHeight="1" thickBot="1" x14ac:dyDescent="0.25">
      <c r="B20" s="64" t="s">
        <v>87</v>
      </c>
      <c r="C20" s="50">
        <f>C18*0.718</f>
        <v>78.97999999999999</v>
      </c>
      <c r="D20" s="55" t="s">
        <v>65</v>
      </c>
      <c r="F20" s="33"/>
      <c r="H20" s="71" t="s">
        <v>3</v>
      </c>
      <c r="I20" s="224" t="s">
        <v>99</v>
      </c>
      <c r="M20" s="34"/>
      <c r="O20"/>
      <c r="P20"/>
      <c r="Q20"/>
      <c r="R20" s="2"/>
      <c r="S20" s="2"/>
      <c r="T20"/>
      <c r="U20"/>
      <c r="V20"/>
      <c r="W20"/>
      <c r="X20" s="2"/>
      <c r="Y20" s="2"/>
      <c r="Z20"/>
      <c r="AA20"/>
      <c r="AE20"/>
      <c r="AF20"/>
      <c r="AK20"/>
      <c r="AL20"/>
      <c r="AQ20" s="2"/>
      <c r="AR20"/>
      <c r="AS20" s="4"/>
    </row>
    <row r="21" spans="2:45" ht="15" customHeight="1" thickBot="1" x14ac:dyDescent="0.25">
      <c r="B21" s="62"/>
      <c r="D21" s="51"/>
      <c r="F21" s="33"/>
      <c r="H21" s="72" t="s">
        <v>100</v>
      </c>
      <c r="I21" s="225" t="s">
        <v>101</v>
      </c>
      <c r="M21" s="34"/>
      <c r="O21"/>
      <c r="P21"/>
      <c r="Q21"/>
      <c r="R21" s="45"/>
      <c r="S21" s="45"/>
      <c r="T21"/>
      <c r="U21"/>
      <c r="V21"/>
      <c r="W21"/>
      <c r="X21" s="45"/>
      <c r="Y21" s="45"/>
      <c r="Z21"/>
      <c r="AA21"/>
      <c r="AE21"/>
      <c r="AF21"/>
      <c r="AK21"/>
      <c r="AL21"/>
      <c r="AQ21" s="2"/>
    </row>
    <row r="22" spans="2:45" ht="15" customHeight="1" thickBot="1" x14ac:dyDescent="0.25">
      <c r="B22" s="64" t="s">
        <v>93</v>
      </c>
      <c r="C22" s="88">
        <f>C5+SUM(C7:C11)+C20</f>
        <v>898.98</v>
      </c>
      <c r="D22" s="55" t="s">
        <v>65</v>
      </c>
      <c r="F22" s="33"/>
      <c r="H22" s="73" t="s">
        <v>102</v>
      </c>
      <c r="I22" s="226" t="s">
        <v>103</v>
      </c>
      <c r="M22" s="34"/>
      <c r="O22" s="16" t="s">
        <v>19</v>
      </c>
      <c r="P22"/>
      <c r="Q22"/>
      <c r="R22"/>
      <c r="S22"/>
      <c r="T22"/>
      <c r="U22"/>
      <c r="V22"/>
      <c r="W22"/>
      <c r="X22" t="s">
        <v>4</v>
      </c>
      <c r="Y22"/>
      <c r="Z22"/>
      <c r="AA22"/>
      <c r="AE22"/>
      <c r="AF22"/>
      <c r="AG22"/>
      <c r="AH22"/>
      <c r="AI22"/>
      <c r="AJ22"/>
      <c r="AK22"/>
      <c r="AL22"/>
      <c r="AM22"/>
      <c r="AN22"/>
      <c r="AO22"/>
      <c r="AP22"/>
      <c r="AQ22" s="2"/>
    </row>
    <row r="23" spans="2:45" ht="24.95" customHeight="1" thickBot="1" x14ac:dyDescent="0.25">
      <c r="B23" s="33"/>
      <c r="C23" s="60" t="str">
        <f>IF(C22&gt;900,"max 900 Kg","")</f>
        <v/>
      </c>
      <c r="D23" s="34"/>
      <c r="F23" s="912" t="s">
        <v>104</v>
      </c>
      <c r="G23" s="913"/>
      <c r="H23" s="81">
        <f>P93</f>
        <v>187.46881515932176</v>
      </c>
      <c r="I23" s="82">
        <f>V93</f>
        <v>431.12717952899999</v>
      </c>
      <c r="J23" s="69" t="s">
        <v>48</v>
      </c>
      <c r="M23" s="34"/>
      <c r="O23"/>
      <c r="P23" s="947" t="s">
        <v>10</v>
      </c>
      <c r="Q23" s="961"/>
      <c r="R23" s="961"/>
      <c r="S23" s="962" t="s">
        <v>11</v>
      </c>
      <c r="T23" s="963"/>
      <c r="U23" s="963"/>
      <c r="V23" s="957" t="s">
        <v>10</v>
      </c>
      <c r="W23" s="958"/>
      <c r="X23" s="958"/>
      <c r="Y23" s="964" t="s">
        <v>11</v>
      </c>
      <c r="Z23" s="964"/>
      <c r="AA23" s="965"/>
      <c r="AN23" s="2"/>
      <c r="AO23" s="2"/>
      <c r="AP23" s="2"/>
      <c r="AQ23" s="2"/>
    </row>
    <row r="24" spans="2:45" ht="15" customHeight="1" thickBot="1" x14ac:dyDescent="0.25">
      <c r="B24" s="61" t="s">
        <v>287</v>
      </c>
      <c r="C24" s="629">
        <f>AU10</f>
        <v>0.52786224387639324</v>
      </c>
      <c r="D24" s="630" t="s">
        <v>170</v>
      </c>
      <c r="F24" s="33"/>
      <c r="M24" s="34"/>
      <c r="O24"/>
      <c r="P24" s="429" t="s">
        <v>189</v>
      </c>
      <c r="Q24" s="430" t="s">
        <v>14</v>
      </c>
      <c r="R24" s="431" t="s">
        <v>190</v>
      </c>
      <c r="S24" s="432" t="s">
        <v>189</v>
      </c>
      <c r="T24" s="432" t="s">
        <v>14</v>
      </c>
      <c r="U24" s="443" t="s">
        <v>190</v>
      </c>
      <c r="V24" s="132" t="s">
        <v>189</v>
      </c>
      <c r="W24" s="115" t="s">
        <v>14</v>
      </c>
      <c r="X24" s="134" t="s">
        <v>190</v>
      </c>
      <c r="Y24" s="439" t="s">
        <v>189</v>
      </c>
      <c r="Z24" s="439" t="s">
        <v>14</v>
      </c>
      <c r="AA24" s="440" t="s">
        <v>190</v>
      </c>
      <c r="AN24" s="2"/>
      <c r="AO24" s="2"/>
      <c r="AP24" s="2"/>
      <c r="AQ24" s="2"/>
    </row>
    <row r="25" spans="2:45" ht="24.95" customHeight="1" thickBot="1" x14ac:dyDescent="0.25">
      <c r="B25" s="688"/>
      <c r="C25" s="687" t="str">
        <f>AU14</f>
        <v>Centrage Correct</v>
      </c>
      <c r="D25" s="689"/>
      <c r="F25" s="910" t="s">
        <v>105</v>
      </c>
      <c r="G25" s="911"/>
      <c r="H25" s="81">
        <f>S93</f>
        <v>288.21126562017832</v>
      </c>
      <c r="I25" s="82">
        <f>Y93</f>
        <v>524.84312406814354</v>
      </c>
      <c r="J25" s="69" t="s">
        <v>48</v>
      </c>
      <c r="M25" s="34"/>
      <c r="O25" s="8" t="s">
        <v>1</v>
      </c>
      <c r="P25" s="212" t="s">
        <v>5</v>
      </c>
      <c r="Q25" s="17" t="s">
        <v>5</v>
      </c>
      <c r="R25" s="17" t="s">
        <v>5</v>
      </c>
      <c r="S25" s="329" t="s">
        <v>5</v>
      </c>
      <c r="T25" s="329" t="s">
        <v>5</v>
      </c>
      <c r="U25" s="444" t="s">
        <v>5</v>
      </c>
      <c r="V25" s="212" t="s">
        <v>12</v>
      </c>
      <c r="W25" s="17" t="s">
        <v>12</v>
      </c>
      <c r="X25" s="17" t="s">
        <v>12</v>
      </c>
      <c r="Y25" s="329" t="s">
        <v>12</v>
      </c>
      <c r="Z25" s="329" t="s">
        <v>12</v>
      </c>
      <c r="AA25" s="435" t="s">
        <v>12</v>
      </c>
      <c r="AF25" s="1" t="s">
        <v>40</v>
      </c>
      <c r="AI25" s="1" t="s">
        <v>41</v>
      </c>
      <c r="AL25" s="1" t="s">
        <v>185</v>
      </c>
      <c r="AM25"/>
      <c r="AN25" s="4"/>
      <c r="AO25" s="4" t="s">
        <v>186</v>
      </c>
      <c r="AP25" s="4"/>
      <c r="AQ25" s="2"/>
    </row>
    <row r="26" spans="2:45" ht="15" customHeight="1" thickTop="1" thickBot="1" x14ac:dyDescent="0.25">
      <c r="F26" s="52"/>
      <c r="G26" s="53"/>
      <c r="H26" s="53"/>
      <c r="I26" s="53"/>
      <c r="J26" s="53"/>
      <c r="K26" s="53"/>
      <c r="L26" s="53"/>
      <c r="M26" s="54"/>
      <c r="O26" s="1">
        <v>0</v>
      </c>
      <c r="P26" s="441">
        <v>130</v>
      </c>
      <c r="Q26" s="26">
        <v>145</v>
      </c>
      <c r="R26" s="26">
        <v>165</v>
      </c>
      <c r="S26" s="445">
        <v>165</v>
      </c>
      <c r="T26" s="428">
        <v>185</v>
      </c>
      <c r="U26" s="446">
        <v>215</v>
      </c>
      <c r="V26" s="441">
        <v>285</v>
      </c>
      <c r="W26" s="11">
        <v>315</v>
      </c>
      <c r="X26" s="2">
        <v>345</v>
      </c>
      <c r="Y26" s="368">
        <v>320</v>
      </c>
      <c r="Z26" s="332">
        <v>355</v>
      </c>
      <c r="AA26" s="448">
        <v>395</v>
      </c>
      <c r="AC26" s="2"/>
      <c r="AD26" s="2"/>
      <c r="AE26" s="406" t="s">
        <v>27</v>
      </c>
      <c r="AF26" s="254">
        <v>130</v>
      </c>
      <c r="AG26" s="238">
        <v>1.125E-2</v>
      </c>
      <c r="AH26" s="2"/>
      <c r="AI26" s="412">
        <v>165</v>
      </c>
      <c r="AJ26" s="413">
        <v>1.6250000000000001E-2</v>
      </c>
      <c r="AL26" s="423">
        <v>285</v>
      </c>
      <c r="AM26" s="238">
        <v>2.2499999999999999E-2</v>
      </c>
      <c r="AN26"/>
      <c r="AO26" s="412">
        <v>320</v>
      </c>
      <c r="AP26" s="413">
        <v>2.75E-2</v>
      </c>
      <c r="AQ26" s="2"/>
    </row>
    <row r="27" spans="2:45" ht="15" customHeight="1" thickTop="1" x14ac:dyDescent="0.2">
      <c r="O27" s="27">
        <v>4000</v>
      </c>
      <c r="P27" s="390">
        <v>175</v>
      </c>
      <c r="Q27" s="26">
        <v>195</v>
      </c>
      <c r="R27" s="26">
        <v>220</v>
      </c>
      <c r="S27" s="446">
        <v>230</v>
      </c>
      <c r="T27" s="330">
        <v>265</v>
      </c>
      <c r="U27" s="446">
        <v>300</v>
      </c>
      <c r="V27" s="390">
        <v>375</v>
      </c>
      <c r="W27" s="450">
        <v>415</v>
      </c>
      <c r="X27" s="2">
        <v>460</v>
      </c>
      <c r="Y27" s="330">
        <v>430</v>
      </c>
      <c r="Z27" s="332">
        <v>485</v>
      </c>
      <c r="AA27" s="448">
        <v>540</v>
      </c>
      <c r="AC27" s="839" t="s">
        <v>187</v>
      </c>
      <c r="AD27" s="956"/>
      <c r="AE27" s="407" t="s">
        <v>14</v>
      </c>
      <c r="AF27" s="252">
        <v>145</v>
      </c>
      <c r="AG27" s="408">
        <v>1.2500000000000001E-2</v>
      </c>
      <c r="AI27" s="414">
        <v>185</v>
      </c>
      <c r="AJ27" s="415">
        <v>0.02</v>
      </c>
      <c r="AL27" s="424">
        <v>315</v>
      </c>
      <c r="AM27" s="408">
        <v>2.5000000000000001E-2</v>
      </c>
      <c r="AN27"/>
      <c r="AO27" s="414">
        <v>355</v>
      </c>
      <c r="AP27" s="415">
        <v>3.2500000000000001E-2</v>
      </c>
      <c r="AQ27" s="2"/>
    </row>
    <row r="28" spans="2:45" ht="15" customHeight="1" thickBot="1" x14ac:dyDescent="0.25">
      <c r="H28"/>
      <c r="O28" s="27">
        <v>8000</v>
      </c>
      <c r="P28" s="391">
        <v>235</v>
      </c>
      <c r="Q28" s="442">
        <v>265</v>
      </c>
      <c r="R28" s="442">
        <v>300</v>
      </c>
      <c r="S28" s="447">
        <v>330</v>
      </c>
      <c r="T28" s="352">
        <v>380</v>
      </c>
      <c r="U28" s="447">
        <v>440</v>
      </c>
      <c r="V28" s="391">
        <v>500</v>
      </c>
      <c r="W28" s="451">
        <v>560</v>
      </c>
      <c r="X28" s="327">
        <v>620</v>
      </c>
      <c r="Y28" s="352">
        <v>595</v>
      </c>
      <c r="Z28" s="351">
        <v>675</v>
      </c>
      <c r="AA28" s="449">
        <v>760</v>
      </c>
      <c r="AE28" s="409" t="s">
        <v>28</v>
      </c>
      <c r="AF28" s="410">
        <v>165</v>
      </c>
      <c r="AG28" s="411">
        <v>1.375E-2</v>
      </c>
      <c r="AI28" s="416">
        <v>215</v>
      </c>
      <c r="AJ28" s="417">
        <v>2.1250000000000002E-2</v>
      </c>
      <c r="AL28" s="425">
        <v>345</v>
      </c>
      <c r="AM28" s="411">
        <v>2.8750000000000001E-2</v>
      </c>
      <c r="AN28"/>
      <c r="AO28" s="426">
        <v>395</v>
      </c>
      <c r="AP28" s="427">
        <v>3.6249999999999998E-2</v>
      </c>
    </row>
    <row r="29" spans="2:45" ht="15" customHeight="1" x14ac:dyDescent="0.2">
      <c r="H29" s="228"/>
      <c r="P29"/>
      <c r="Q29"/>
      <c r="R29"/>
      <c r="S29"/>
      <c r="T29"/>
      <c r="U29"/>
      <c r="V29"/>
      <c r="W29"/>
      <c r="X29"/>
      <c r="Y29"/>
      <c r="Z29"/>
      <c r="AA29"/>
      <c r="AL29" s="16"/>
      <c r="AM29" s="21"/>
      <c r="AN29"/>
      <c r="AO29"/>
      <c r="AP29"/>
      <c r="AQ29" s="163"/>
    </row>
    <row r="30" spans="2:45" ht="15" customHeight="1" thickBot="1" x14ac:dyDescent="0.25">
      <c r="H30" s="228"/>
      <c r="I30" s="99"/>
      <c r="O30" s="2" t="s">
        <v>42</v>
      </c>
      <c r="P30" s="17">
        <f>AF26+AG26*$K$9</f>
        <v>134.79249999999999</v>
      </c>
      <c r="Q30" s="17">
        <f>AF27+AG27*$K$9</f>
        <v>150.32499999999999</v>
      </c>
      <c r="R30" s="17">
        <f>AF28+AG28*$K$9</f>
        <v>170.85749999999999</v>
      </c>
      <c r="S30" s="329">
        <f>AI26+AJ26*$K$9</f>
        <v>171.92250000000001</v>
      </c>
      <c r="T30" s="329">
        <f>AI27+AJ27*$K$9</f>
        <v>193.52</v>
      </c>
      <c r="U30" s="329">
        <f>AI28+AJ28*$K$9</f>
        <v>224.05250000000001</v>
      </c>
      <c r="V30" s="17">
        <f>AL26+AM26*$K$9</f>
        <v>294.58499999999998</v>
      </c>
      <c r="W30" s="17">
        <f>AL27+AM27*$K$9</f>
        <v>325.64999999999998</v>
      </c>
      <c r="X30" s="17">
        <f>AL28+AM28*$K$9</f>
        <v>357.2475</v>
      </c>
      <c r="Y30" s="329">
        <f>AO26+AP26*$K$9</f>
        <v>331.71499999999997</v>
      </c>
      <c r="Z30" s="329">
        <f>AO27+AP27*$K$9</f>
        <v>368.84500000000003</v>
      </c>
      <c r="AA30" s="329">
        <f>AO28+AP28*$K$9</f>
        <v>410.4425</v>
      </c>
      <c r="AC30" s="237"/>
      <c r="AD30" s="237"/>
      <c r="AE30" s="405"/>
      <c r="AF30" s="237" t="s">
        <v>40</v>
      </c>
      <c r="AG30" s="237"/>
      <c r="AH30" s="237"/>
      <c r="AI30" s="237" t="s">
        <v>41</v>
      </c>
      <c r="AJ30" s="237"/>
      <c r="AK30" s="237"/>
      <c r="AL30" s="237" t="s">
        <v>186</v>
      </c>
      <c r="AM30" s="237"/>
      <c r="AN30" s="237"/>
      <c r="AO30" t="s">
        <v>186</v>
      </c>
      <c r="AP30"/>
      <c r="AQ30" s="5"/>
    </row>
    <row r="31" spans="2:45" ht="15" customHeight="1" x14ac:dyDescent="0.2">
      <c r="H31" s="228"/>
      <c r="I31" s="1" t="s">
        <v>4</v>
      </c>
      <c r="P31"/>
      <c r="Q31"/>
      <c r="R31"/>
      <c r="S31"/>
      <c r="T31"/>
      <c r="U31"/>
      <c r="V31"/>
      <c r="W31"/>
      <c r="X31"/>
      <c r="Y31"/>
      <c r="Z31"/>
      <c r="AA31"/>
      <c r="AE31" s="418" t="s">
        <v>27</v>
      </c>
      <c r="AF31" s="254">
        <v>115</v>
      </c>
      <c r="AG31" s="238">
        <v>1.4999999999999999E-2</v>
      </c>
      <c r="AI31" s="412">
        <v>130</v>
      </c>
      <c r="AJ31" s="413">
        <v>2.5000000000000001E-2</v>
      </c>
      <c r="AL31" s="423">
        <v>250</v>
      </c>
      <c r="AM31" s="238">
        <v>3.125E-2</v>
      </c>
      <c r="AN31"/>
      <c r="AO31" s="412">
        <v>265</v>
      </c>
      <c r="AP31" s="413">
        <v>4.1250000000000002E-2</v>
      </c>
      <c r="AQ31"/>
    </row>
    <row r="32" spans="2:45" ht="15" customHeight="1" x14ac:dyDescent="0.2">
      <c r="O32" s="2" t="s">
        <v>43</v>
      </c>
      <c r="P32" s="9">
        <f>AF31+AG31*$K$9</f>
        <v>121.39</v>
      </c>
      <c r="Q32" s="9">
        <f>AF32+AG32*$K$9</f>
        <v>132.45500000000001</v>
      </c>
      <c r="R32" s="9">
        <f>AF33+AG33*$K$9</f>
        <v>148.52000000000001</v>
      </c>
      <c r="S32" s="325">
        <f>AI31+AJ31*$K$9</f>
        <v>140.65</v>
      </c>
      <c r="T32" s="325">
        <f>AI32+AJ32*$K$9</f>
        <v>162.2475</v>
      </c>
      <c r="U32" s="325">
        <f>AI33+AJ33*$K$9</f>
        <v>174.91</v>
      </c>
      <c r="V32" s="9">
        <f>AL31+AM31*$K$9</f>
        <v>263.3125</v>
      </c>
      <c r="W32" s="9">
        <f>AL32+AM32*$K$9</f>
        <v>285.4425</v>
      </c>
      <c r="X32" s="9">
        <f>AL33+AM33*$K$9</f>
        <v>317.04000000000002</v>
      </c>
      <c r="Y32" s="325">
        <f>AO31+AP31*$K$9</f>
        <v>282.57249999999999</v>
      </c>
      <c r="Z32" s="325">
        <f>AO32+AP32*$K$9</f>
        <v>315.23500000000001</v>
      </c>
      <c r="AA32" s="325">
        <f>AO33+AP33*$K$9</f>
        <v>343.43</v>
      </c>
      <c r="AC32" s="955" t="s">
        <v>188</v>
      </c>
      <c r="AD32" s="955"/>
      <c r="AE32" s="419" t="s">
        <v>14</v>
      </c>
      <c r="AF32" s="252">
        <v>125</v>
      </c>
      <c r="AG32" s="408">
        <v>1.7500000000000002E-2</v>
      </c>
      <c r="AI32" s="414">
        <v>150</v>
      </c>
      <c r="AJ32" s="415">
        <v>2.8750000000000001E-2</v>
      </c>
      <c r="AL32" s="424">
        <v>270</v>
      </c>
      <c r="AM32" s="408">
        <v>3.6249999999999998E-2</v>
      </c>
      <c r="AN32"/>
      <c r="AO32" s="414">
        <v>295</v>
      </c>
      <c r="AP32" s="415">
        <v>4.7500000000000001E-2</v>
      </c>
      <c r="AQ32" s="2"/>
    </row>
    <row r="33" spans="15:45" ht="15" customHeight="1" thickBot="1" x14ac:dyDescent="0.25">
      <c r="P33"/>
      <c r="Q33"/>
      <c r="R33"/>
      <c r="S33"/>
      <c r="T33"/>
      <c r="U33"/>
      <c r="V33"/>
      <c r="W33"/>
      <c r="X33"/>
      <c r="Y33"/>
      <c r="Z33"/>
      <c r="AA33"/>
      <c r="AC33" s="237"/>
      <c r="AD33" s="237"/>
      <c r="AE33" s="420" t="s">
        <v>28</v>
      </c>
      <c r="AF33" s="410">
        <v>140</v>
      </c>
      <c r="AG33" s="411">
        <v>0.02</v>
      </c>
      <c r="AI33" s="397">
        <v>160</v>
      </c>
      <c r="AJ33" s="422">
        <v>3.5000000000000003E-2</v>
      </c>
      <c r="AL33" s="425">
        <v>300</v>
      </c>
      <c r="AM33" s="411">
        <v>0.04</v>
      </c>
      <c r="AN33"/>
      <c r="AO33" s="421">
        <v>320</v>
      </c>
      <c r="AP33" s="422">
        <v>5.5E-2</v>
      </c>
      <c r="AQ33" s="2"/>
    </row>
    <row r="34" spans="15:45" ht="15" customHeight="1" thickBot="1" x14ac:dyDescent="0.25">
      <c r="O34" s="2" t="s">
        <v>23</v>
      </c>
      <c r="P34" s="399">
        <f>IF($K$9&gt;=4000,P32,P30)</f>
        <v>134.79249999999999</v>
      </c>
      <c r="Q34" s="308">
        <f t="shared" ref="Q34:AA34" si="1">IF($K$9&gt;=4000,Q32,Q30)</f>
        <v>150.32499999999999</v>
      </c>
      <c r="R34" s="308">
        <f t="shared" si="1"/>
        <v>170.85749999999999</v>
      </c>
      <c r="S34" s="301">
        <f t="shared" si="1"/>
        <v>171.92250000000001</v>
      </c>
      <c r="T34" s="301">
        <f t="shared" si="1"/>
        <v>193.52</v>
      </c>
      <c r="U34" s="452">
        <f t="shared" si="1"/>
        <v>224.05250000000001</v>
      </c>
      <c r="V34" s="399">
        <f t="shared" si="1"/>
        <v>294.58499999999998</v>
      </c>
      <c r="W34" s="308">
        <f t="shared" si="1"/>
        <v>325.64999999999998</v>
      </c>
      <c r="X34" s="308">
        <f t="shared" si="1"/>
        <v>357.2475</v>
      </c>
      <c r="Y34" s="301">
        <f t="shared" si="1"/>
        <v>331.71499999999997</v>
      </c>
      <c r="Z34" s="301">
        <f t="shared" si="1"/>
        <v>368.84500000000003</v>
      </c>
      <c r="AA34" s="400">
        <f t="shared" si="1"/>
        <v>410.4425</v>
      </c>
      <c r="AN34" s="2"/>
      <c r="AO34" s="2"/>
      <c r="AP34" s="2"/>
      <c r="AQ34" s="2"/>
    </row>
    <row r="35" spans="15:45" ht="15" customHeight="1" x14ac:dyDescent="0.2">
      <c r="O35" s="2"/>
      <c r="P35"/>
      <c r="Q35"/>
      <c r="R35"/>
      <c r="S35"/>
      <c r="T35"/>
      <c r="U35"/>
      <c r="V35"/>
      <c r="W35"/>
      <c r="X35"/>
      <c r="Y35"/>
      <c r="Z35"/>
      <c r="AA35"/>
    </row>
    <row r="36" spans="15:45" ht="15" customHeight="1" x14ac:dyDescent="0.2">
      <c r="P36"/>
      <c r="Q36"/>
      <c r="R36"/>
      <c r="S36"/>
      <c r="T36"/>
      <c r="U36"/>
      <c r="V36"/>
      <c r="W36"/>
      <c r="X36"/>
      <c r="Y36"/>
      <c r="Z36"/>
      <c r="AA36"/>
      <c r="AB36" s="1" t="s">
        <v>4</v>
      </c>
      <c r="AN36" s="163"/>
      <c r="AO36" s="163"/>
      <c r="AP36" s="163"/>
      <c r="AQ36" s="163"/>
    </row>
    <row r="37" spans="15:45" ht="15" customHeight="1" thickBot="1" x14ac:dyDescent="0.25">
      <c r="O37" s="2"/>
      <c r="P37" s="892" t="s">
        <v>45</v>
      </c>
      <c r="Q37" s="892"/>
      <c r="R37" s="5" t="s">
        <v>5</v>
      </c>
      <c r="S37" s="5" t="s">
        <v>6</v>
      </c>
      <c r="T37"/>
      <c r="U37"/>
      <c r="V37" s="892" t="s">
        <v>44</v>
      </c>
      <c r="W37" s="892"/>
      <c r="X37" s="5" t="s">
        <v>5</v>
      </c>
      <c r="Y37" s="5" t="s">
        <v>6</v>
      </c>
      <c r="Z37"/>
      <c r="AA37"/>
      <c r="AC37" s="1" t="s">
        <v>4</v>
      </c>
      <c r="AN37" s="5"/>
      <c r="AO37" s="5"/>
      <c r="AP37" s="5"/>
      <c r="AQ37" s="5"/>
    </row>
    <row r="38" spans="15:45" ht="15" customHeight="1" thickBot="1" x14ac:dyDescent="0.25">
      <c r="O38"/>
      <c r="P38" s="839" t="s">
        <v>29</v>
      </c>
      <c r="Q38" s="839"/>
      <c r="R38" s="403">
        <f>IF(S15&gt;=P15,Q34+((R34-Q34)/20)*(S15-P15),Q34-((Q34-P34)/20)*(P15-S15))</f>
        <v>168.6523095</v>
      </c>
      <c r="S38" s="453">
        <f>IF(S15&gt;=P15,W34+((X34-W34)/20)*(S15-P15),W34-((W34-V34)/20)*(P15-S15))</f>
        <v>353.85392849999999</v>
      </c>
      <c r="T38"/>
      <c r="U38" t="s">
        <v>4</v>
      </c>
      <c r="V38" s="839" t="s">
        <v>29</v>
      </c>
      <c r="W38" s="839"/>
      <c r="X38" s="455">
        <f>IF(S15&gt;=P15,T34+((U34-T34)/20)*(S15-P15),T34-((T34-S34)/20)*(P15-S15))</f>
        <v>220.77330950000001</v>
      </c>
      <c r="Y38" s="456">
        <f>IF(S15&gt;=P15,Z34+((AA34-Z34)/20)*(S15-P15),Z34-((Z34-Y34)/20)*(P15-S15))</f>
        <v>405.97492850000003</v>
      </c>
      <c r="Z38"/>
      <c r="AA38"/>
      <c r="AN38"/>
      <c r="AO38"/>
      <c r="AP38"/>
      <c r="AQ38"/>
    </row>
    <row r="39" spans="15:45" ht="15" customHeight="1" x14ac:dyDescent="0.2">
      <c r="O39"/>
      <c r="P39"/>
      <c r="Q39"/>
      <c r="R39"/>
      <c r="S39"/>
      <c r="T39"/>
      <c r="U39"/>
      <c r="V39"/>
      <c r="W39"/>
      <c r="X39"/>
      <c r="Y39"/>
      <c r="Z39"/>
      <c r="AA39" t="s">
        <v>4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5:45" ht="15" customHeight="1" thickBot="1" x14ac:dyDescent="0.25">
      <c r="O40"/>
      <c r="P40"/>
      <c r="Q40"/>
      <c r="R40" s="5" t="s">
        <v>5</v>
      </c>
      <c r="S40" s="5" t="s">
        <v>6</v>
      </c>
      <c r="T40"/>
      <c r="U40"/>
      <c r="V40" t="s">
        <v>4</v>
      </c>
      <c r="W40"/>
      <c r="X40" s="5" t="s">
        <v>5</v>
      </c>
      <c r="Y40" s="5" t="s">
        <v>6</v>
      </c>
      <c r="Z40"/>
      <c r="AA40" t="s">
        <v>4</v>
      </c>
      <c r="AE40" s="4"/>
      <c r="AF40" s="4"/>
      <c r="AG40" s="4"/>
      <c r="AH40" s="4"/>
      <c r="AI40" s="2"/>
      <c r="AJ40" s="2"/>
      <c r="AK40" s="4"/>
      <c r="AL40" s="4"/>
      <c r="AM40" s="4"/>
      <c r="AN40" s="4"/>
      <c r="AO40" s="2"/>
      <c r="AP40" s="2"/>
    </row>
    <row r="41" spans="15:45" ht="15" customHeight="1" thickBot="1" x14ac:dyDescent="0.25">
      <c r="O41"/>
      <c r="P41" s="890" t="s">
        <v>25</v>
      </c>
      <c r="Q41" s="891"/>
      <c r="R41" s="47">
        <f>R38+((R18-R38)/200)*(H8-700)</f>
        <v>292.15583174310001</v>
      </c>
      <c r="S41" s="47">
        <f>S38+((S18-S38)/200)*(H8-700)</f>
        <v>604.88522509309996</v>
      </c>
      <c r="T41"/>
      <c r="U41"/>
      <c r="V41" s="890" t="s">
        <v>25</v>
      </c>
      <c r="W41" s="891"/>
      <c r="X41" s="365">
        <f>X38+((X18-X38)/200)*(H8-700)</f>
        <v>425.01519332930002</v>
      </c>
      <c r="Y41" s="365">
        <f>Y38+((Y18-Y38)/200*(H8-700))</f>
        <v>737.74458667930003</v>
      </c>
      <c r="Z41"/>
      <c r="AA41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5"/>
      <c r="AR41" s="5"/>
      <c r="AS41" s="5"/>
    </row>
    <row r="42" spans="15:45" ht="15" customHeight="1" x14ac:dyDescent="0.2">
      <c r="P42"/>
      <c r="Q42"/>
      <c r="R42"/>
      <c r="S42"/>
      <c r="T42"/>
      <c r="U42"/>
      <c r="V42"/>
      <c r="W42"/>
      <c r="X42"/>
      <c r="Y42"/>
      <c r="Z42"/>
      <c r="AA42"/>
      <c r="AE42" s="4"/>
      <c r="AF42" s="4"/>
      <c r="AG42" s="2"/>
      <c r="AH42" s="2"/>
      <c r="AI42" s="2"/>
      <c r="AJ42" s="2"/>
      <c r="AK42" s="4"/>
      <c r="AL42" s="4"/>
      <c r="AM42" s="2"/>
      <c r="AN42" s="2"/>
      <c r="AO42" s="2"/>
      <c r="AP42" s="2"/>
    </row>
    <row r="43" spans="15:45" ht="15" customHeight="1" thickBot="1" x14ac:dyDescent="0.25">
      <c r="P43"/>
      <c r="Q43"/>
      <c r="R43" s="5"/>
      <c r="S43"/>
      <c r="T43"/>
      <c r="U43" s="5" t="s">
        <v>5</v>
      </c>
      <c r="V43" s="5" t="s">
        <v>6</v>
      </c>
      <c r="W43"/>
      <c r="X43" s="5"/>
      <c r="Y43" s="5"/>
      <c r="Z43"/>
      <c r="AA43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R43" s="268"/>
    </row>
    <row r="44" spans="15:45" ht="15" customHeight="1" thickBot="1" x14ac:dyDescent="0.25">
      <c r="P44"/>
      <c r="Q44"/>
      <c r="R44" s="46"/>
      <c r="S44" s="890" t="s">
        <v>46</v>
      </c>
      <c r="T44" s="891"/>
      <c r="U44" s="47">
        <f>IF(H12="D",R41,X41)</f>
        <v>425.01519332930002</v>
      </c>
      <c r="V44" s="47">
        <f>IF(H12="D",S41,Y41)</f>
        <v>737.74458667930003</v>
      </c>
      <c r="W44"/>
      <c r="X44" s="46"/>
      <c r="Y44" s="46"/>
      <c r="Z44"/>
      <c r="AA44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R44" s="43"/>
    </row>
    <row r="45" spans="15:45" ht="15" customHeight="1" x14ac:dyDescent="0.2">
      <c r="P45"/>
      <c r="Q45"/>
      <c r="R45"/>
      <c r="S45"/>
      <c r="T45"/>
      <c r="U45"/>
      <c r="V45"/>
      <c r="W45"/>
      <c r="X45"/>
      <c r="Y45"/>
      <c r="Z45"/>
      <c r="AA45"/>
      <c r="AN45" s="5"/>
      <c r="AP45" s="43"/>
      <c r="AR45" s="268"/>
    </row>
    <row r="46" spans="15:45" ht="15" customHeight="1" thickBot="1" x14ac:dyDescent="0.25">
      <c r="O46" s="1" t="s">
        <v>4</v>
      </c>
      <c r="P46" t="s">
        <v>4</v>
      </c>
      <c r="Q46"/>
      <c r="R46"/>
      <c r="S46"/>
      <c r="T46"/>
      <c r="U46" s="5" t="s">
        <v>5</v>
      </c>
      <c r="V46" s="5" t="s">
        <v>6</v>
      </c>
      <c r="W46"/>
      <c r="X46"/>
      <c r="Y46"/>
      <c r="Z46"/>
      <c r="AA46"/>
      <c r="AM46" s="1" t="s">
        <v>4</v>
      </c>
    </row>
    <row r="47" spans="15:45" ht="15" customHeight="1" thickBot="1" x14ac:dyDescent="0.25">
      <c r="O47"/>
      <c r="P47"/>
      <c r="Q47" s="492">
        <f>H13</f>
        <v>-4.3301270189221945</v>
      </c>
      <c r="R47" s="494">
        <f>-INT(H13)</f>
        <v>5</v>
      </c>
      <c r="S47" s="890" t="s">
        <v>26</v>
      </c>
      <c r="T47" s="891"/>
      <c r="U47" s="457">
        <f>IF(H13&gt;=-10,(1-0.023*R47)*U44,IF(H13&gt;=-20,(0.92-0.015*R47)*U44,(0.84-0.011*R47)*U44))</f>
        <v>376.13844609643053</v>
      </c>
      <c r="V47" s="458">
        <f>IF(H13&gt;=-10,(1-0.023*R47)*V44,IF(H13&gt;=-20,(0.92-0.015*R47)*V44,(0.84-0.011*R47)*V44))</f>
        <v>652.90395921118056</v>
      </c>
      <c r="W47"/>
      <c r="X47"/>
      <c r="Y47"/>
      <c r="Z47"/>
      <c r="AA47"/>
      <c r="AN47" s="5"/>
      <c r="AO47" s="5"/>
      <c r="AP47" s="5"/>
      <c r="AQ47" s="5"/>
    </row>
    <row r="48" spans="15:45" ht="15" customHeight="1" x14ac:dyDescent="0.2">
      <c r="O48"/>
      <c r="P48"/>
      <c r="Q48"/>
      <c r="R48"/>
      <c r="S48"/>
      <c r="T48"/>
      <c r="U48"/>
      <c r="V48"/>
      <c r="W48"/>
      <c r="X48"/>
      <c r="Y48"/>
      <c r="Z48"/>
      <c r="AA48"/>
      <c r="AN48" s="5"/>
      <c r="AO48" s="5"/>
      <c r="AP48" s="5"/>
      <c r="AQ48" s="5"/>
    </row>
    <row r="49" spans="15:43" ht="15" customHeight="1" x14ac:dyDescent="0.2">
      <c r="O49" s="21" t="s">
        <v>9</v>
      </c>
      <c r="P49"/>
      <c r="Q49"/>
      <c r="R49"/>
      <c r="S49"/>
      <c r="T49"/>
      <c r="U49" s="5"/>
      <c r="V49" s="5"/>
      <c r="W49"/>
      <c r="X49"/>
      <c r="Y49"/>
      <c r="Z49"/>
      <c r="AA49"/>
      <c r="AN49"/>
      <c r="AO49"/>
      <c r="AP49"/>
      <c r="AQ49"/>
    </row>
    <row r="50" spans="15:43" ht="15" customHeight="1" x14ac:dyDescent="0.2">
      <c r="O50"/>
      <c r="P50" s="887" t="s">
        <v>34</v>
      </c>
      <c r="Q50" s="888"/>
      <c r="R50" s="888"/>
      <c r="S50" s="888"/>
      <c r="T50" s="888"/>
      <c r="U50" s="889"/>
      <c r="V50" s="887" t="s">
        <v>35</v>
      </c>
      <c r="W50" s="888"/>
      <c r="X50" s="888"/>
      <c r="Y50" s="888"/>
      <c r="Z50" s="888"/>
      <c r="AA50" s="889"/>
      <c r="AI50" s="1" t="s">
        <v>4</v>
      </c>
    </row>
    <row r="51" spans="15:43" ht="15" customHeight="1" x14ac:dyDescent="0.2">
      <c r="O51"/>
      <c r="P51" s="887" t="s">
        <v>36</v>
      </c>
      <c r="Q51" s="888"/>
      <c r="R51" s="889"/>
      <c r="S51" s="886" t="s">
        <v>37</v>
      </c>
      <c r="T51" s="886"/>
      <c r="U51" s="886"/>
      <c r="V51" s="885" t="s">
        <v>36</v>
      </c>
      <c r="W51" s="885"/>
      <c r="X51" s="885"/>
      <c r="Y51" s="886" t="s">
        <v>37</v>
      </c>
      <c r="Z51" s="886"/>
      <c r="AA51" s="886"/>
    </row>
    <row r="52" spans="15:43" ht="15" customHeight="1" x14ac:dyDescent="0.2">
      <c r="O52"/>
      <c r="P52" s="887" t="s">
        <v>38</v>
      </c>
      <c r="Q52" s="888"/>
      <c r="R52" s="889"/>
      <c r="S52" s="886" t="s">
        <v>39</v>
      </c>
      <c r="T52" s="886"/>
      <c r="U52" s="886"/>
      <c r="V52" s="885" t="s">
        <v>38</v>
      </c>
      <c r="W52" s="885"/>
      <c r="X52" s="885"/>
      <c r="Y52" s="886" t="s">
        <v>39</v>
      </c>
      <c r="Z52" s="886"/>
      <c r="AA52" s="886"/>
      <c r="AN52" s="5"/>
      <c r="AO52" s="5"/>
    </row>
    <row r="53" spans="15:43" ht="15" customHeight="1" thickBot="1" x14ac:dyDescent="0.25">
      <c r="O53" t="s">
        <v>1</v>
      </c>
      <c r="P53" s="23" t="s">
        <v>27</v>
      </c>
      <c r="Q53" s="23" t="s">
        <v>14</v>
      </c>
      <c r="R53" s="23" t="s">
        <v>28</v>
      </c>
      <c r="S53" s="368" t="s">
        <v>27</v>
      </c>
      <c r="T53" s="368" t="s">
        <v>14</v>
      </c>
      <c r="U53" s="368" t="s">
        <v>28</v>
      </c>
      <c r="V53" s="23" t="s">
        <v>27</v>
      </c>
      <c r="W53" s="23" t="s">
        <v>14</v>
      </c>
      <c r="X53" s="23" t="s">
        <v>28</v>
      </c>
      <c r="Y53" s="368" t="s">
        <v>27</v>
      </c>
      <c r="Z53" s="368" t="s">
        <v>14</v>
      </c>
      <c r="AA53" s="454" t="s">
        <v>28</v>
      </c>
      <c r="AG53" s="1" t="s">
        <v>40</v>
      </c>
      <c r="AJ53" s="1" t="s">
        <v>41</v>
      </c>
      <c r="AM53" s="1" t="s">
        <v>185</v>
      </c>
      <c r="AN53"/>
      <c r="AO53" s="4"/>
      <c r="AP53" s="4" t="s">
        <v>186</v>
      </c>
      <c r="AQ53" s="4"/>
    </row>
    <row r="54" spans="15:43" ht="15" customHeight="1" x14ac:dyDescent="0.2">
      <c r="O54" s="36">
        <v>0</v>
      </c>
      <c r="P54" s="38">
        <v>185</v>
      </c>
      <c r="Q54" s="38">
        <v>200</v>
      </c>
      <c r="R54" s="18">
        <v>210</v>
      </c>
      <c r="S54" s="369">
        <v>280</v>
      </c>
      <c r="T54" s="369">
        <v>300</v>
      </c>
      <c r="U54" s="369">
        <v>325</v>
      </c>
      <c r="V54" s="18">
        <v>435</v>
      </c>
      <c r="W54" s="39">
        <v>460</v>
      </c>
      <c r="X54" s="39">
        <v>485</v>
      </c>
      <c r="Y54" s="370">
        <v>530</v>
      </c>
      <c r="Z54" s="370">
        <v>560</v>
      </c>
      <c r="AA54" s="466">
        <v>590</v>
      </c>
      <c r="AC54" s="2"/>
      <c r="AD54" s="2"/>
      <c r="AE54" s="460" t="s">
        <v>27</v>
      </c>
      <c r="AF54" s="237"/>
      <c r="AG54" s="423">
        <v>185</v>
      </c>
      <c r="AH54" s="238">
        <v>5.0000000000000001E-3</v>
      </c>
      <c r="AI54" s="2"/>
      <c r="AJ54" s="412">
        <v>280</v>
      </c>
      <c r="AK54" s="413">
        <v>7.4999999999999997E-3</v>
      </c>
      <c r="AM54" s="423">
        <v>435</v>
      </c>
      <c r="AN54" s="238">
        <v>0.01</v>
      </c>
      <c r="AO54"/>
      <c r="AP54" s="412">
        <v>530</v>
      </c>
      <c r="AQ54" s="413">
        <v>1.2500000000000001E-2</v>
      </c>
    </row>
    <row r="55" spans="15:43" ht="15" customHeight="1" x14ac:dyDescent="0.2">
      <c r="O55" s="37">
        <v>4000</v>
      </c>
      <c r="P55" s="6">
        <v>205</v>
      </c>
      <c r="Q55" s="6">
        <v>225</v>
      </c>
      <c r="R55" s="12">
        <v>240</v>
      </c>
      <c r="S55" s="320">
        <v>310</v>
      </c>
      <c r="T55" s="320">
        <v>335</v>
      </c>
      <c r="U55" s="320">
        <v>360</v>
      </c>
      <c r="V55" s="12">
        <v>475</v>
      </c>
      <c r="W55" s="25">
        <v>505</v>
      </c>
      <c r="X55" s="25">
        <v>535</v>
      </c>
      <c r="Y55" s="371">
        <v>580</v>
      </c>
      <c r="Z55" s="371">
        <v>615</v>
      </c>
      <c r="AA55" s="467">
        <v>655</v>
      </c>
      <c r="AC55" s="839" t="s">
        <v>187</v>
      </c>
      <c r="AD55" s="956"/>
      <c r="AE55" s="461" t="s">
        <v>14</v>
      </c>
      <c r="AF55" s="237"/>
      <c r="AG55" s="424">
        <v>200</v>
      </c>
      <c r="AH55" s="408">
        <v>6.2500000000000003E-3</v>
      </c>
      <c r="AJ55" s="414">
        <v>300</v>
      </c>
      <c r="AK55" s="415">
        <v>8.7500000000000008E-3</v>
      </c>
      <c r="AM55" s="424">
        <v>460</v>
      </c>
      <c r="AN55" s="408">
        <v>1.125E-2</v>
      </c>
      <c r="AO55"/>
      <c r="AP55" s="414">
        <v>560</v>
      </c>
      <c r="AQ55" s="415">
        <v>1.375E-2</v>
      </c>
    </row>
    <row r="56" spans="15:43" ht="15" customHeight="1" thickBot="1" x14ac:dyDescent="0.25">
      <c r="O56" s="36">
        <v>8000</v>
      </c>
      <c r="P56" s="40">
        <v>235</v>
      </c>
      <c r="Q56" s="40">
        <v>250</v>
      </c>
      <c r="R56" s="13">
        <v>270</v>
      </c>
      <c r="S56" s="321">
        <v>350</v>
      </c>
      <c r="T56" s="321">
        <v>375</v>
      </c>
      <c r="U56" s="321">
        <v>405</v>
      </c>
      <c r="V56" s="13">
        <v>525</v>
      </c>
      <c r="W56" s="24">
        <v>555</v>
      </c>
      <c r="X56" s="24">
        <v>590</v>
      </c>
      <c r="Y56" s="372">
        <v>640</v>
      </c>
      <c r="Z56" s="372">
        <v>680</v>
      </c>
      <c r="AA56" s="468">
        <v>725</v>
      </c>
      <c r="AE56" s="462" t="s">
        <v>28</v>
      </c>
      <c r="AF56" s="237"/>
      <c r="AG56" s="425">
        <v>210</v>
      </c>
      <c r="AH56" s="411">
        <v>7.4999999999999997E-3</v>
      </c>
      <c r="AJ56" s="416">
        <v>325</v>
      </c>
      <c r="AK56" s="417">
        <v>8.7500000000000008E-3</v>
      </c>
      <c r="AM56" s="425">
        <v>485</v>
      </c>
      <c r="AN56" s="411">
        <v>1.2500000000000001E-2</v>
      </c>
      <c r="AO56"/>
      <c r="AP56" s="426">
        <v>590</v>
      </c>
      <c r="AQ56" s="427">
        <v>1.6250000000000001E-2</v>
      </c>
    </row>
    <row r="57" spans="15:43" ht="15" customHeight="1" x14ac:dyDescent="0.2">
      <c r="O57" s="2"/>
      <c r="R57"/>
      <c r="S57"/>
      <c r="T57"/>
      <c r="U57"/>
      <c r="V57"/>
      <c r="W57"/>
      <c r="X57"/>
      <c r="Y57"/>
      <c r="Z57"/>
      <c r="AA57"/>
      <c r="AM57" s="16"/>
      <c r="AN57" s="21"/>
      <c r="AO57"/>
      <c r="AP57"/>
      <c r="AQ57"/>
    </row>
    <row r="58" spans="15:43" ht="15" customHeight="1" thickBot="1" x14ac:dyDescent="0.25">
      <c r="O58" s="2" t="s">
        <v>59</v>
      </c>
      <c r="P58" s="3">
        <f>AG54+AH54*$K$9</f>
        <v>187.13</v>
      </c>
      <c r="Q58" s="3">
        <f>AG55+AH55*$K$9</f>
        <v>202.66249999999999</v>
      </c>
      <c r="R58" s="9">
        <f>AG56+AH56*$K$9</f>
        <v>213.19499999999999</v>
      </c>
      <c r="S58" s="434">
        <f>AJ54+AK54*$K$9</f>
        <v>283.19499999999999</v>
      </c>
      <c r="T58" s="434">
        <f>AJ55+AK55*$K$9</f>
        <v>303.72750000000002</v>
      </c>
      <c r="U58" s="325">
        <f>AJ56+AK56*$K$9</f>
        <v>328.72750000000002</v>
      </c>
      <c r="V58" s="3">
        <f>AM54+AN54*$K$9</f>
        <v>439.26</v>
      </c>
      <c r="W58" s="3">
        <f>AM55+AN55*$K$9</f>
        <v>464.79250000000002</v>
      </c>
      <c r="X58" s="9">
        <f>AM56+AN56*$K$9</f>
        <v>490.32499999999999</v>
      </c>
      <c r="Y58" s="434">
        <f>AP54+AQ54*$K$9</f>
        <v>535.32500000000005</v>
      </c>
      <c r="Z58" s="434">
        <f>AP55+AQ55*$K$9</f>
        <v>565.85749999999996</v>
      </c>
      <c r="AA58" s="325">
        <f>AP56+AQ56*$K$9</f>
        <v>596.92250000000001</v>
      </c>
      <c r="AC58" s="237"/>
      <c r="AD58" s="237"/>
      <c r="AE58" s="405"/>
      <c r="AF58" s="237"/>
      <c r="AG58" s="237" t="s">
        <v>40</v>
      </c>
      <c r="AH58" s="237"/>
      <c r="AI58" s="237"/>
      <c r="AJ58" s="237" t="s">
        <v>41</v>
      </c>
      <c r="AK58" s="237"/>
      <c r="AL58" s="237"/>
      <c r="AM58" s="237" t="s">
        <v>186</v>
      </c>
      <c r="AN58" s="237"/>
      <c r="AO58" s="237"/>
      <c r="AP58" t="s">
        <v>186</v>
      </c>
      <c r="AQ58"/>
    </row>
    <row r="59" spans="15:43" ht="15" customHeight="1" x14ac:dyDescent="0.2">
      <c r="O59" s="2"/>
      <c r="R59"/>
      <c r="S59"/>
      <c r="T59"/>
      <c r="U59"/>
      <c r="V59"/>
      <c r="W59"/>
      <c r="X59"/>
      <c r="Y59"/>
      <c r="Z59"/>
      <c r="AA59"/>
      <c r="AE59" s="463" t="s">
        <v>27</v>
      </c>
      <c r="AF59" s="237"/>
      <c r="AG59" s="423">
        <v>175</v>
      </c>
      <c r="AH59" s="238">
        <v>7.4999999999999997E-3</v>
      </c>
      <c r="AJ59" s="412">
        <v>270</v>
      </c>
      <c r="AK59" s="413">
        <v>0.01</v>
      </c>
      <c r="AM59" s="423">
        <v>425</v>
      </c>
      <c r="AN59" s="238">
        <v>1.2500000000000001E-2</v>
      </c>
      <c r="AO59"/>
      <c r="AP59" s="412">
        <v>520</v>
      </c>
      <c r="AQ59" s="413">
        <v>1.4999999999999999E-2</v>
      </c>
    </row>
    <row r="60" spans="15:43" ht="15" customHeight="1" x14ac:dyDescent="0.2">
      <c r="O60" s="2" t="s">
        <v>60</v>
      </c>
      <c r="P60" s="3">
        <f>AG59+AH59*$K$9</f>
        <v>178.19499999999999</v>
      </c>
      <c r="Q60" s="3">
        <f>AG60+AH60*$K$9</f>
        <v>202.66249999999999</v>
      </c>
      <c r="R60" s="9">
        <f>AG61+AH61*$K$9</f>
        <v>213.19499999999999</v>
      </c>
      <c r="S60" s="434">
        <f>AJ59+AK59*$K$9</f>
        <v>274.26</v>
      </c>
      <c r="T60" s="434">
        <f>AJ60+AK60*$K$9</f>
        <v>299.26</v>
      </c>
      <c r="U60" s="325">
        <f>AJ61+AK61*$K$9</f>
        <v>319.79250000000002</v>
      </c>
      <c r="V60" s="3">
        <f>AM59+AN59*$K$9</f>
        <v>430.32499999999999</v>
      </c>
      <c r="W60" s="3">
        <f>AM60+AN60*$K$9</f>
        <v>460.32499999999999</v>
      </c>
      <c r="X60" s="9">
        <f>AM61+AN61*$K$9</f>
        <v>485.85750000000002</v>
      </c>
      <c r="Y60" s="434">
        <f>AP59+AQ59*$K$9</f>
        <v>526.39</v>
      </c>
      <c r="Z60" s="434">
        <f>AP60+AQ60*$K$9</f>
        <v>556.92250000000001</v>
      </c>
      <c r="AA60" s="325">
        <f>AP61+AQ61*$K$9</f>
        <v>592.45500000000004</v>
      </c>
      <c r="AC60" s="955" t="s">
        <v>188</v>
      </c>
      <c r="AD60" s="955"/>
      <c r="AE60" s="464" t="s">
        <v>14</v>
      </c>
      <c r="AF60" s="237"/>
      <c r="AG60" s="424">
        <v>200</v>
      </c>
      <c r="AH60" s="408">
        <v>6.2500000000000003E-3</v>
      </c>
      <c r="AJ60" s="414">
        <v>295</v>
      </c>
      <c r="AK60" s="415">
        <v>0.01</v>
      </c>
      <c r="AM60" s="424">
        <v>455</v>
      </c>
      <c r="AN60" s="408">
        <v>1.2500000000000001E-2</v>
      </c>
      <c r="AO60"/>
      <c r="AP60" s="414">
        <v>550</v>
      </c>
      <c r="AQ60" s="415">
        <v>1.6250000000000001E-2</v>
      </c>
    </row>
    <row r="61" spans="15:43" ht="15" customHeight="1" thickBot="1" x14ac:dyDescent="0.25">
      <c r="O61" s="2"/>
      <c r="R61"/>
      <c r="S61"/>
      <c r="T61"/>
      <c r="U61"/>
      <c r="V61"/>
      <c r="W61"/>
      <c r="X61"/>
      <c r="Y61"/>
      <c r="Z61"/>
      <c r="AA61"/>
      <c r="AC61" s="237"/>
      <c r="AD61" s="237"/>
      <c r="AE61" s="465" t="s">
        <v>28</v>
      </c>
      <c r="AF61" s="237"/>
      <c r="AG61" s="425">
        <v>210</v>
      </c>
      <c r="AH61" s="411">
        <v>7.4999999999999997E-3</v>
      </c>
      <c r="AJ61" s="397">
        <v>315</v>
      </c>
      <c r="AK61" s="422">
        <v>1.125E-2</v>
      </c>
      <c r="AM61" s="425">
        <v>480</v>
      </c>
      <c r="AN61" s="411">
        <v>1.375E-2</v>
      </c>
      <c r="AO61"/>
      <c r="AP61" s="421">
        <v>585</v>
      </c>
      <c r="AQ61" s="422">
        <v>1.7500000000000002E-2</v>
      </c>
    </row>
    <row r="62" spans="15:43" ht="15" customHeight="1" thickBot="1" x14ac:dyDescent="0.25">
      <c r="O62" s="2" t="s">
        <v>23</v>
      </c>
      <c r="P62" s="469">
        <f>IF($K$9&gt;=4000,P60,P58)</f>
        <v>187.13</v>
      </c>
      <c r="Q62" s="470">
        <f t="shared" ref="Q62:AA62" si="2">IF($K$9&gt;=4000,Q60,Q58)</f>
        <v>202.66249999999999</v>
      </c>
      <c r="R62" s="470">
        <f t="shared" si="2"/>
        <v>213.19499999999999</v>
      </c>
      <c r="S62" s="471">
        <f t="shared" si="2"/>
        <v>283.19499999999999</v>
      </c>
      <c r="T62" s="471">
        <f t="shared" si="2"/>
        <v>303.72750000000002</v>
      </c>
      <c r="U62" s="472">
        <f t="shared" si="2"/>
        <v>328.72750000000002</v>
      </c>
      <c r="V62" s="469">
        <f t="shared" si="2"/>
        <v>439.26</v>
      </c>
      <c r="W62" s="470">
        <f t="shared" si="2"/>
        <v>464.79250000000002</v>
      </c>
      <c r="X62" s="470">
        <f t="shared" si="2"/>
        <v>490.32499999999999</v>
      </c>
      <c r="Y62" s="471">
        <f t="shared" si="2"/>
        <v>535.32500000000005</v>
      </c>
      <c r="Z62" s="471">
        <f t="shared" si="2"/>
        <v>565.85749999999996</v>
      </c>
      <c r="AA62" s="473">
        <f t="shared" si="2"/>
        <v>596.92250000000001</v>
      </c>
    </row>
    <row r="63" spans="15:43" ht="15" customHeight="1" x14ac:dyDescent="0.2">
      <c r="P63" s="4"/>
      <c r="Q63"/>
      <c r="R63"/>
      <c r="S63" s="4"/>
      <c r="T63"/>
      <c r="U63"/>
      <c r="V63" s="4"/>
      <c r="W63"/>
      <c r="X63"/>
      <c r="Y63" s="4"/>
      <c r="Z63"/>
      <c r="AA63"/>
    </row>
    <row r="64" spans="15:43" ht="15" customHeight="1" x14ac:dyDescent="0.2">
      <c r="O64" s="2" t="s">
        <v>30</v>
      </c>
      <c r="P64" s="401">
        <f>15-H9/1000*2</f>
        <v>14.148</v>
      </c>
      <c r="Q64" s="2" t="s">
        <v>4</v>
      </c>
      <c r="R64" s="2" t="s">
        <v>31</v>
      </c>
      <c r="S64" s="401">
        <f>H10</f>
        <v>32</v>
      </c>
      <c r="T64" s="2"/>
      <c r="U64" s="2"/>
      <c r="V64" s="2"/>
      <c r="W64" s="2"/>
      <c r="X64" s="2"/>
      <c r="Y64" s="2"/>
      <c r="Z64"/>
      <c r="AA64"/>
      <c r="AC64" s="1" t="s">
        <v>4</v>
      </c>
    </row>
    <row r="65" spans="15:43" ht="15" customHeight="1" x14ac:dyDescent="0.2">
      <c r="P65" s="4" t="s">
        <v>40</v>
      </c>
      <c r="Q65"/>
      <c r="R65"/>
      <c r="S65" s="4" t="s">
        <v>41</v>
      </c>
      <c r="T65"/>
      <c r="U65"/>
      <c r="V65" s="4" t="s">
        <v>49</v>
      </c>
      <c r="W65"/>
      <c r="X65"/>
      <c r="Y65" s="4" t="s">
        <v>50</v>
      </c>
      <c r="Z65"/>
      <c r="AA65"/>
      <c r="AB65" s="1" t="s">
        <v>4</v>
      </c>
    </row>
    <row r="66" spans="15:43" ht="15" customHeight="1" x14ac:dyDescent="0.2">
      <c r="O66" s="1" t="s">
        <v>29</v>
      </c>
      <c r="P66" s="31">
        <f>IF(S64&gt;=P64,Q62+((R62-Q62)/20)*(S64-P64),Q62-((Q62-P62)/20)*(P64-S64))</f>
        <v>212.06380949999999</v>
      </c>
      <c r="Q66"/>
      <c r="R66"/>
      <c r="S66" s="479">
        <f>IF(S64&gt;=P64,T62+((U62-T62)/20)*(S64-P64),T62-((T62-S62)/20)*(P64-S64))</f>
        <v>326.04250000000002</v>
      </c>
      <c r="T66"/>
      <c r="U66" t="s">
        <v>4</v>
      </c>
      <c r="V66" s="31">
        <f>IF(S64&gt;=P64,W62+((X62-W62)/20)*(S64-P64),W62-((W62-V62)/20)*(P64-S64))</f>
        <v>487.5828095</v>
      </c>
      <c r="W66" t="s">
        <v>4</v>
      </c>
      <c r="X66"/>
      <c r="Y66" s="479">
        <f>IF(S64&gt;=P64,Z62+((AA62-Z62)/20)*(S64-P64),Z62-((Z62-Y62)/20)*(P64-S64))</f>
        <v>593.58611900000005</v>
      </c>
      <c r="Z66"/>
      <c r="AA66" t="s">
        <v>4</v>
      </c>
    </row>
    <row r="67" spans="15:43" ht="15" customHeight="1" x14ac:dyDescent="0.2">
      <c r="P67"/>
      <c r="Q67"/>
      <c r="R67"/>
      <c r="S67"/>
      <c r="T67"/>
      <c r="U67"/>
      <c r="V67"/>
      <c r="W67"/>
      <c r="X67"/>
      <c r="Y67"/>
      <c r="Z67"/>
      <c r="AA67"/>
    </row>
    <row r="68" spans="15:43" ht="15" customHeight="1" x14ac:dyDescent="0.2">
      <c r="P68"/>
      <c r="Q68"/>
      <c r="R68"/>
      <c r="S68"/>
      <c r="T68"/>
      <c r="U68" t="s">
        <v>4</v>
      </c>
      <c r="V68"/>
      <c r="W68" t="s">
        <v>4</v>
      </c>
      <c r="X68" t="s">
        <v>4</v>
      </c>
      <c r="Y68"/>
      <c r="Z68"/>
      <c r="AA68"/>
    </row>
    <row r="69" spans="15:43" ht="15" customHeight="1" x14ac:dyDescent="0.2">
      <c r="P69"/>
      <c r="Q69"/>
      <c r="R69"/>
      <c r="S69"/>
      <c r="T69"/>
      <c r="U69"/>
      <c r="V69"/>
      <c r="W69"/>
      <c r="X69"/>
      <c r="Y69"/>
      <c r="Z69"/>
      <c r="AA69"/>
    </row>
    <row r="70" spans="15:43" ht="15" customHeight="1" x14ac:dyDescent="0.2">
      <c r="O70" s="16" t="s">
        <v>19</v>
      </c>
      <c r="P70"/>
      <c r="Q70"/>
      <c r="R70"/>
      <c r="S70"/>
      <c r="T70"/>
      <c r="U70"/>
      <c r="V70"/>
      <c r="W70"/>
      <c r="X70"/>
      <c r="Y70"/>
      <c r="Z70"/>
      <c r="AA70"/>
    </row>
    <row r="71" spans="15:43" ht="15" customHeight="1" x14ac:dyDescent="0.2">
      <c r="P71" s="885" t="s">
        <v>34</v>
      </c>
      <c r="Q71" s="885"/>
      <c r="R71" s="885"/>
      <c r="S71" s="885"/>
      <c r="T71" s="885"/>
      <c r="U71" s="885"/>
      <c r="V71" s="885" t="s">
        <v>35</v>
      </c>
      <c r="W71" s="885"/>
      <c r="X71" s="885"/>
      <c r="Y71" s="885"/>
      <c r="Z71" s="885"/>
      <c r="AA71" s="885"/>
    </row>
    <row r="72" spans="15:43" ht="15" customHeight="1" x14ac:dyDescent="0.2">
      <c r="P72" s="885" t="s">
        <v>36</v>
      </c>
      <c r="Q72" s="885"/>
      <c r="R72" s="885"/>
      <c r="S72" s="886" t="s">
        <v>37</v>
      </c>
      <c r="T72" s="886"/>
      <c r="U72" s="886"/>
      <c r="V72" s="885" t="s">
        <v>36</v>
      </c>
      <c r="W72" s="885"/>
      <c r="X72" s="885"/>
      <c r="Y72" s="886" t="s">
        <v>37</v>
      </c>
      <c r="Z72" s="886"/>
      <c r="AA72" s="886"/>
    </row>
    <row r="73" spans="15:43" ht="15" customHeight="1" x14ac:dyDescent="0.2">
      <c r="P73" s="885" t="s">
        <v>38</v>
      </c>
      <c r="Q73" s="885"/>
      <c r="R73" s="885"/>
      <c r="S73" s="886" t="s">
        <v>39</v>
      </c>
      <c r="T73" s="886"/>
      <c r="U73" s="886"/>
      <c r="V73" s="885" t="s">
        <v>38</v>
      </c>
      <c r="W73" s="885"/>
      <c r="X73" s="885"/>
      <c r="Y73" s="886" t="s">
        <v>39</v>
      </c>
      <c r="Z73" s="886"/>
      <c r="AA73" s="886"/>
    </row>
    <row r="74" spans="15:43" ht="15" customHeight="1" thickBot="1" x14ac:dyDescent="0.25">
      <c r="O74" s="1" t="s">
        <v>1</v>
      </c>
      <c r="P74" s="22" t="s">
        <v>27</v>
      </c>
      <c r="Q74" s="22" t="s">
        <v>14</v>
      </c>
      <c r="R74" s="22" t="s">
        <v>28</v>
      </c>
      <c r="S74" s="373" t="s">
        <v>27</v>
      </c>
      <c r="T74" s="373" t="s">
        <v>14</v>
      </c>
      <c r="U74" s="373" t="s">
        <v>28</v>
      </c>
      <c r="V74" s="22" t="s">
        <v>27</v>
      </c>
      <c r="W74" s="22" t="s">
        <v>14</v>
      </c>
      <c r="X74" s="22" t="s">
        <v>28</v>
      </c>
      <c r="Y74" s="373" t="s">
        <v>27</v>
      </c>
      <c r="Z74" s="373" t="s">
        <v>14</v>
      </c>
      <c r="AA74" s="325" t="s">
        <v>28</v>
      </c>
      <c r="AG74" s="1" t="s">
        <v>40</v>
      </c>
      <c r="AJ74" s="1" t="s">
        <v>41</v>
      </c>
      <c r="AM74" s="1" t="s">
        <v>185</v>
      </c>
      <c r="AN74"/>
      <c r="AO74" s="4"/>
      <c r="AP74" s="4" t="s">
        <v>186</v>
      </c>
      <c r="AQ74" s="4"/>
    </row>
    <row r="75" spans="15:43" ht="15" customHeight="1" x14ac:dyDescent="0.2">
      <c r="O75" s="2">
        <v>0</v>
      </c>
      <c r="P75" s="41">
        <v>145</v>
      </c>
      <c r="Q75" s="41">
        <v>155</v>
      </c>
      <c r="R75" s="41">
        <v>165</v>
      </c>
      <c r="S75" s="374">
        <v>215</v>
      </c>
      <c r="T75" s="374">
        <v>230</v>
      </c>
      <c r="U75" s="374">
        <v>250</v>
      </c>
      <c r="V75" s="22">
        <v>365</v>
      </c>
      <c r="W75" s="42">
        <v>385</v>
      </c>
      <c r="X75" s="42">
        <v>400</v>
      </c>
      <c r="Y75" s="375">
        <v>435</v>
      </c>
      <c r="Z75" s="375">
        <v>460</v>
      </c>
      <c r="AA75" s="373">
        <v>485</v>
      </c>
      <c r="AC75" s="2"/>
      <c r="AD75" s="2"/>
      <c r="AE75" s="460" t="s">
        <v>27</v>
      </c>
      <c r="AF75" s="237"/>
      <c r="AG75" s="423">
        <v>145</v>
      </c>
      <c r="AH75" s="238">
        <v>3.7499999999999999E-3</v>
      </c>
      <c r="AI75" s="2"/>
      <c r="AJ75" s="412">
        <v>215</v>
      </c>
      <c r="AK75" s="413">
        <v>6.2500000000000003E-3</v>
      </c>
      <c r="AM75" s="423">
        <v>365</v>
      </c>
      <c r="AN75" s="238">
        <v>7.4999999999999997E-3</v>
      </c>
      <c r="AO75"/>
      <c r="AP75" s="412">
        <v>435</v>
      </c>
      <c r="AQ75" s="413">
        <v>0.01</v>
      </c>
    </row>
    <row r="76" spans="15:43" ht="15" customHeight="1" x14ac:dyDescent="0.2">
      <c r="O76" s="2">
        <v>4000</v>
      </c>
      <c r="P76" s="6">
        <v>160</v>
      </c>
      <c r="Q76" s="6">
        <v>175</v>
      </c>
      <c r="R76" s="6">
        <v>185</v>
      </c>
      <c r="S76" s="320">
        <v>240</v>
      </c>
      <c r="T76" s="320">
        <v>260</v>
      </c>
      <c r="U76" s="320">
        <v>285</v>
      </c>
      <c r="V76" s="12">
        <v>395</v>
      </c>
      <c r="W76" s="25">
        <v>420</v>
      </c>
      <c r="X76" s="25">
        <v>440</v>
      </c>
      <c r="Y76" s="371">
        <v>475</v>
      </c>
      <c r="Z76" s="371">
        <v>505</v>
      </c>
      <c r="AA76" s="467">
        <v>530</v>
      </c>
      <c r="AC76" s="839" t="s">
        <v>187</v>
      </c>
      <c r="AD76" s="956"/>
      <c r="AE76" s="461" t="s">
        <v>14</v>
      </c>
      <c r="AF76" s="237"/>
      <c r="AG76" s="424">
        <v>155</v>
      </c>
      <c r="AH76" s="408">
        <v>5.0000000000000001E-3</v>
      </c>
      <c r="AJ76" s="414">
        <v>230</v>
      </c>
      <c r="AK76" s="415">
        <v>7.4999999999999997E-3</v>
      </c>
      <c r="AM76" s="424">
        <v>385</v>
      </c>
      <c r="AN76" s="408">
        <v>8.7500000000000008E-3</v>
      </c>
      <c r="AO76"/>
      <c r="AP76" s="414">
        <v>460</v>
      </c>
      <c r="AQ76" s="415">
        <v>1.125E-2</v>
      </c>
    </row>
    <row r="77" spans="15:43" ht="15" customHeight="1" thickBot="1" x14ac:dyDescent="0.25">
      <c r="O77" s="2">
        <v>8000</v>
      </c>
      <c r="P77" s="7">
        <v>180</v>
      </c>
      <c r="Q77" s="7">
        <v>195</v>
      </c>
      <c r="R77" s="7">
        <v>210</v>
      </c>
      <c r="S77" s="321">
        <v>275</v>
      </c>
      <c r="T77" s="321">
        <v>290</v>
      </c>
      <c r="U77" s="321">
        <v>315</v>
      </c>
      <c r="V77" s="13">
        <v>430</v>
      </c>
      <c r="W77" s="24">
        <v>460</v>
      </c>
      <c r="X77" s="24">
        <v>485</v>
      </c>
      <c r="Y77" s="372">
        <v>525</v>
      </c>
      <c r="Z77" s="372">
        <v>555</v>
      </c>
      <c r="AA77" s="468">
        <v>590</v>
      </c>
      <c r="AE77" s="462" t="s">
        <v>28</v>
      </c>
      <c r="AF77" s="237"/>
      <c r="AG77" s="425">
        <v>165</v>
      </c>
      <c r="AH77" s="411">
        <v>5.0000000000000001E-3</v>
      </c>
      <c r="AJ77" s="416">
        <v>250</v>
      </c>
      <c r="AK77" s="417">
        <v>8.7500000000000008E-3</v>
      </c>
      <c r="AM77" s="425">
        <v>400</v>
      </c>
      <c r="AN77" s="411">
        <v>0.01</v>
      </c>
      <c r="AO77"/>
      <c r="AP77" s="426">
        <v>485</v>
      </c>
      <c r="AQ77" s="427">
        <v>1.125E-2</v>
      </c>
    </row>
    <row r="78" spans="15:43" ht="15" customHeight="1" x14ac:dyDescent="0.2">
      <c r="O78" s="2"/>
      <c r="P78"/>
      <c r="Q78"/>
      <c r="R78"/>
      <c r="S78"/>
      <c r="T78"/>
      <c r="U78"/>
      <c r="V78"/>
      <c r="W78"/>
      <c r="X78"/>
      <c r="Y78"/>
      <c r="Z78"/>
      <c r="AA78"/>
      <c r="AM78" s="16"/>
      <c r="AN78" s="21"/>
      <c r="AO78"/>
      <c r="AP78"/>
      <c r="AQ78"/>
    </row>
    <row r="79" spans="15:43" ht="15" customHeight="1" thickBot="1" x14ac:dyDescent="0.25">
      <c r="O79" s="2" t="s">
        <v>59</v>
      </c>
      <c r="P79" s="9">
        <f>145+0.00375*K9</f>
        <v>146.5975</v>
      </c>
      <c r="Q79" s="9">
        <f>155+0.005*K9</f>
        <v>157.13</v>
      </c>
      <c r="R79" s="9">
        <f>165+0.005*K9</f>
        <v>167.13</v>
      </c>
      <c r="S79" s="325">
        <f>215+0.00625*K9</f>
        <v>217.66249999999999</v>
      </c>
      <c r="T79" s="325">
        <f>230+0.0075*K9</f>
        <v>233.19499999999999</v>
      </c>
      <c r="U79" s="325">
        <f>250+0.00875*K9</f>
        <v>253.72749999999999</v>
      </c>
      <c r="V79" s="9">
        <f>365+0.0075*K9</f>
        <v>368.19499999999999</v>
      </c>
      <c r="W79" s="9">
        <f>385+0.00875*K9</f>
        <v>388.72750000000002</v>
      </c>
      <c r="X79" s="9">
        <f>400+0.01*K9</f>
        <v>404.26</v>
      </c>
      <c r="Y79" s="325">
        <f>435+0.01*K9</f>
        <v>439.26</v>
      </c>
      <c r="Z79" s="325">
        <f>460+0.01125*K9</f>
        <v>464.79250000000002</v>
      </c>
      <c r="AA79" s="325">
        <f>485+0.01125*K9</f>
        <v>489.79250000000002</v>
      </c>
      <c r="AC79" s="237"/>
      <c r="AD79" s="237"/>
      <c r="AE79" s="405"/>
      <c r="AF79" s="237"/>
      <c r="AG79" s="237" t="s">
        <v>40</v>
      </c>
      <c r="AH79" s="237"/>
      <c r="AI79" s="237"/>
      <c r="AJ79" s="237" t="s">
        <v>41</v>
      </c>
      <c r="AK79" s="237"/>
      <c r="AL79" s="237"/>
      <c r="AM79" s="237" t="s">
        <v>186</v>
      </c>
      <c r="AN79" s="237"/>
      <c r="AO79" s="237"/>
      <c r="AP79" t="s">
        <v>186</v>
      </c>
      <c r="AQ79"/>
    </row>
    <row r="80" spans="15:43" ht="15" customHeight="1" x14ac:dyDescent="0.2">
      <c r="O80" s="2"/>
      <c r="P80"/>
      <c r="Q80"/>
      <c r="R80"/>
      <c r="S80"/>
      <c r="T80"/>
      <c r="U80"/>
      <c r="V80"/>
      <c r="W80"/>
      <c r="X80"/>
      <c r="Y80"/>
      <c r="Z80"/>
      <c r="AA80"/>
      <c r="AE80" s="463" t="s">
        <v>27</v>
      </c>
      <c r="AF80" s="237"/>
      <c r="AG80" s="423">
        <v>140</v>
      </c>
      <c r="AH80" s="238">
        <v>5.0000000000000001E-3</v>
      </c>
      <c r="AJ80" s="412">
        <v>205</v>
      </c>
      <c r="AK80" s="413">
        <v>8.7500000000000008E-3</v>
      </c>
      <c r="AM80" s="423">
        <v>360</v>
      </c>
      <c r="AN80" s="238">
        <v>8.7500000000000008E-3</v>
      </c>
      <c r="AO80"/>
      <c r="AP80" s="412">
        <v>425</v>
      </c>
      <c r="AQ80" s="413">
        <v>1.2500000000000001E-2</v>
      </c>
    </row>
    <row r="81" spans="15:43" ht="15" customHeight="1" x14ac:dyDescent="0.2">
      <c r="O81" s="2" t="s">
        <v>60</v>
      </c>
      <c r="P81" s="9">
        <f>140+0.005*K9</f>
        <v>142.13</v>
      </c>
      <c r="Q81" s="9">
        <f>155+0.005*K9</f>
        <v>157.13</v>
      </c>
      <c r="R81" s="9">
        <f>160+0.00625*K9</f>
        <v>162.66249999999999</v>
      </c>
      <c r="S81" s="325">
        <f>205+0.00875*K9</f>
        <v>208.72749999999999</v>
      </c>
      <c r="T81" s="325">
        <f>230+0.0075*K9</f>
        <v>233.19499999999999</v>
      </c>
      <c r="U81" s="325">
        <f>255+0.0075*K9</f>
        <v>258.19499999999999</v>
      </c>
      <c r="V81" s="9">
        <f>360+0.00875*K9</f>
        <v>363.72750000000002</v>
      </c>
      <c r="W81" s="9">
        <f>380+0.01*K9</f>
        <v>384.26</v>
      </c>
      <c r="X81" s="9">
        <f>395+0.01125*K9</f>
        <v>399.79250000000002</v>
      </c>
      <c r="Y81" s="325">
        <f>425+0.0125*K9</f>
        <v>430.32499999999999</v>
      </c>
      <c r="Z81" s="325">
        <f>495+0.0125*K9</f>
        <v>500.32499999999999</v>
      </c>
      <c r="AA81" s="325">
        <f>470+0.015*K9</f>
        <v>476.39</v>
      </c>
      <c r="AC81" s="955" t="s">
        <v>188</v>
      </c>
      <c r="AD81" s="955"/>
      <c r="AE81" s="464" t="s">
        <v>14</v>
      </c>
      <c r="AF81" s="237"/>
      <c r="AG81" s="424">
        <v>155</v>
      </c>
      <c r="AH81" s="408">
        <v>5.0000000000000001E-3</v>
      </c>
      <c r="AJ81" s="414">
        <v>230</v>
      </c>
      <c r="AK81" s="415">
        <v>7.4999999999999997E-3</v>
      </c>
      <c r="AM81" s="424">
        <v>380</v>
      </c>
      <c r="AN81" s="408">
        <v>0.01</v>
      </c>
      <c r="AO81"/>
      <c r="AP81" s="414">
        <v>495</v>
      </c>
      <c r="AQ81" s="415">
        <v>1.2500000000000001E-2</v>
      </c>
    </row>
    <row r="82" spans="15:43" ht="15" customHeight="1" thickBot="1" x14ac:dyDescent="0.25">
      <c r="O82" s="2"/>
      <c r="P82"/>
      <c r="Q82"/>
      <c r="R82"/>
      <c r="S82"/>
      <c r="T82"/>
      <c r="U82"/>
      <c r="V82"/>
      <c r="W82"/>
      <c r="X82"/>
      <c r="Y82"/>
      <c r="Z82"/>
      <c r="AA82"/>
      <c r="AC82" s="237"/>
      <c r="AD82" s="237"/>
      <c r="AE82" s="465" t="s">
        <v>28</v>
      </c>
      <c r="AF82" s="237"/>
      <c r="AG82" s="425">
        <v>160</v>
      </c>
      <c r="AH82" s="411">
        <v>6.2500000000000003E-3</v>
      </c>
      <c r="AJ82" s="397">
        <v>255</v>
      </c>
      <c r="AK82" s="422">
        <v>7.4999999999999997E-3</v>
      </c>
      <c r="AM82" s="425">
        <v>395</v>
      </c>
      <c r="AN82" s="411">
        <v>1.125E-2</v>
      </c>
      <c r="AO82"/>
      <c r="AP82" s="421">
        <v>470</v>
      </c>
      <c r="AQ82" s="422">
        <v>1.4999999999999999E-2</v>
      </c>
    </row>
    <row r="83" spans="15:43" ht="15" customHeight="1" thickBot="1" x14ac:dyDescent="0.25">
      <c r="O83" t="s">
        <v>23</v>
      </c>
      <c r="P83" s="474">
        <f>IF($K$9&gt;=4000,P81,P79)</f>
        <v>146.5975</v>
      </c>
      <c r="Q83" s="475">
        <f t="shared" ref="Q83:AA83" si="3">IF($K$9&gt;=4000,Q81,Q79)</f>
        <v>157.13</v>
      </c>
      <c r="R83" s="475">
        <f t="shared" si="3"/>
        <v>167.13</v>
      </c>
      <c r="S83" s="476">
        <f t="shared" si="3"/>
        <v>217.66249999999999</v>
      </c>
      <c r="T83" s="476">
        <f t="shared" si="3"/>
        <v>233.19499999999999</v>
      </c>
      <c r="U83" s="477">
        <f t="shared" si="3"/>
        <v>253.72749999999999</v>
      </c>
      <c r="V83" s="474">
        <f t="shared" si="3"/>
        <v>368.19499999999999</v>
      </c>
      <c r="W83" s="475">
        <f t="shared" si="3"/>
        <v>388.72750000000002</v>
      </c>
      <c r="X83" s="475">
        <f t="shared" si="3"/>
        <v>404.26</v>
      </c>
      <c r="Y83" s="476">
        <f t="shared" si="3"/>
        <v>439.26</v>
      </c>
      <c r="Z83" s="476">
        <f t="shared" si="3"/>
        <v>464.79250000000002</v>
      </c>
      <c r="AA83" s="478">
        <f t="shared" si="3"/>
        <v>489.79250000000002</v>
      </c>
    </row>
    <row r="84" spans="15:43" ht="15" customHeight="1" x14ac:dyDescent="0.2"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5:43" ht="15" customHeight="1" x14ac:dyDescent="0.2"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5:43" ht="15" customHeight="1" x14ac:dyDescent="0.2">
      <c r="O86"/>
      <c r="P86" s="4" t="s">
        <v>40</v>
      </c>
      <c r="Q86"/>
      <c r="R86"/>
      <c r="S86" s="4" t="s">
        <v>41</v>
      </c>
      <c r="T86"/>
      <c r="U86"/>
      <c r="V86" s="4" t="s">
        <v>51</v>
      </c>
      <c r="W86"/>
      <c r="X86"/>
      <c r="Y86" s="4" t="s">
        <v>52</v>
      </c>
      <c r="Z86"/>
      <c r="AA86"/>
    </row>
    <row r="87" spans="15:43" ht="15" customHeight="1" x14ac:dyDescent="0.2">
      <c r="O87" t="s">
        <v>29</v>
      </c>
      <c r="P87" s="31">
        <f>IF(S64&gt;=P64,Q83+((R83-Q83)/20)*(S64-P64),Q83-((Q83-P83)/20)*(P64-S64))</f>
        <v>166.05599999999998</v>
      </c>
      <c r="Q87"/>
      <c r="R87"/>
      <c r="S87" s="479">
        <f>IF(S64&gt;=P64,T83+((U83-T83)/20)*(S64-P64),T83-((T83-S83)/20)*(P64-S64))</f>
        <v>251.52230950000001</v>
      </c>
      <c r="T87" t="s">
        <v>4</v>
      </c>
      <c r="U87"/>
      <c r="V87" s="31">
        <f>IF(S64&gt;=P64,W83+((X83-W83)/20)*(S64-P64),W83-((W83-V83)/20)*(P64-S64))</f>
        <v>402.59180950000001</v>
      </c>
      <c r="W87"/>
      <c r="X87"/>
      <c r="Y87" s="479">
        <f>IF(S64&gt;=P64,Z83+((AA83-Z83)/20)*(S64-P64),Z83-((Z83-Y83)/20)*(P64-S64))</f>
        <v>487.10750000000002</v>
      </c>
      <c r="Z87"/>
      <c r="AA87"/>
    </row>
    <row r="88" spans="15:43" ht="15" customHeight="1" x14ac:dyDescent="0.2">
      <c r="O88"/>
      <c r="P88"/>
      <c r="Q88"/>
      <c r="R88" t="s">
        <v>4</v>
      </c>
      <c r="S88"/>
      <c r="T88"/>
      <c r="U88"/>
      <c r="V88"/>
      <c r="W88"/>
      <c r="X88"/>
      <c r="Y88"/>
      <c r="Z88"/>
      <c r="AA88"/>
    </row>
    <row r="89" spans="15:43" ht="15" customHeight="1" thickBot="1" x14ac:dyDescent="0.25">
      <c r="O89"/>
      <c r="P89" s="4" t="s">
        <v>40</v>
      </c>
      <c r="Q89"/>
      <c r="R89"/>
      <c r="S89" s="4" t="s">
        <v>41</v>
      </c>
      <c r="T89" t="s">
        <v>4</v>
      </c>
      <c r="U89"/>
      <c r="V89" s="4" t="s">
        <v>51</v>
      </c>
      <c r="W89"/>
      <c r="X89"/>
      <c r="Y89" s="4" t="s">
        <v>52</v>
      </c>
      <c r="Z89"/>
      <c r="AA89" t="s">
        <v>4</v>
      </c>
    </row>
    <row r="90" spans="15:43" ht="15" customHeight="1" thickBot="1" x14ac:dyDescent="0.25">
      <c r="O90" t="s">
        <v>25</v>
      </c>
      <c r="P90" s="480">
        <f>P87+(P66-P87)/200*(H8-700)</f>
        <v>211.82916967155001</v>
      </c>
      <c r="Q90"/>
      <c r="R90"/>
      <c r="S90" s="482">
        <f>S87+(S66-S87)/200*(H8-700)</f>
        <v>325.66244702845006</v>
      </c>
      <c r="T90"/>
      <c r="U90"/>
      <c r="V90" s="481">
        <f>V87+(V66-V87)/200*(H8-700)</f>
        <v>487.14935539999999</v>
      </c>
      <c r="W90"/>
      <c r="X90"/>
      <c r="Y90" s="483">
        <f>Y87+(Y66-Y87)/200*(H8-700)</f>
        <v>593.04307804310008</v>
      </c>
      <c r="Z90"/>
      <c r="AA90"/>
    </row>
    <row r="91" spans="15:43" ht="15" customHeight="1" thickBot="1" x14ac:dyDescent="0.25">
      <c r="O91"/>
      <c r="P91"/>
      <c r="Q91"/>
      <c r="R91"/>
      <c r="S91"/>
      <c r="T91" s="492">
        <f>H13</f>
        <v>-4.3301270189221945</v>
      </c>
      <c r="U91" s="493">
        <f>-INT(H13)</f>
        <v>5</v>
      </c>
      <c r="V91"/>
      <c r="W91"/>
      <c r="X91"/>
      <c r="Y91"/>
      <c r="Z91"/>
      <c r="AA91"/>
    </row>
    <row r="92" spans="15:43" ht="79.5" customHeight="1" thickBot="1" x14ac:dyDescent="0.25">
      <c r="O92"/>
      <c r="P92" s="32" t="s">
        <v>54</v>
      </c>
      <c r="Q92"/>
      <c r="R92"/>
      <c r="S92" s="32" t="s">
        <v>53</v>
      </c>
      <c r="T92"/>
      <c r="U92"/>
      <c r="V92" s="32" t="s">
        <v>55</v>
      </c>
      <c r="W92" t="s">
        <v>4</v>
      </c>
      <c r="X92"/>
      <c r="Y92" s="32" t="s">
        <v>56</v>
      </c>
      <c r="Z92"/>
      <c r="AA92"/>
    </row>
    <row r="93" spans="15:43" ht="15" customHeight="1" thickBot="1" x14ac:dyDescent="0.25">
      <c r="O93" t="s">
        <v>26</v>
      </c>
      <c r="P93" s="14">
        <f>IF(H13&gt;=-10,(1-0.023*U91)*P90,IF(H13&gt;=-20,(0.92-0.015*U91)*P90,(0.84-0.011*U91)*P90))</f>
        <v>187.46881515932176</v>
      </c>
      <c r="Q93" t="s">
        <v>4</v>
      </c>
      <c r="R93"/>
      <c r="S93" s="484">
        <f>IF(H13&gt;=-10,(1-0.023*U91)*S90,IF(H13&gt;=-20,(0.92-0.015*U91)*S90,(0.84-0.011*U91)*S90))</f>
        <v>288.21126562017832</v>
      </c>
      <c r="T93"/>
      <c r="U93"/>
      <c r="V93" s="14">
        <f>IF(H13&gt;=-10,(1-0.023*U91)*V90,IF(H13&gt;=-20,(0.92-0.015*U91)*V90,(0.84-0.011*U91)*V90))</f>
        <v>431.12717952899999</v>
      </c>
      <c r="W93"/>
      <c r="X93"/>
      <c r="Y93" s="484">
        <f>IF(H13&gt;=-10,(1-0.023*U91)*Y90,IF(H13&gt;=-20,(0.92-0.015*U91)*Y90,(0.84-0.011*U91)*Y90))</f>
        <v>524.84312406814354</v>
      </c>
      <c r="Z93"/>
      <c r="AA93"/>
    </row>
    <row r="94" spans="15:43" ht="15" customHeight="1" x14ac:dyDescent="0.2"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5:43" ht="15" customHeight="1" x14ac:dyDescent="0.2">
      <c r="O95" s="1" t="s">
        <v>108</v>
      </c>
    </row>
    <row r="96" spans="15:43" ht="15" customHeight="1" x14ac:dyDescent="0.2">
      <c r="O96" s="83" t="s">
        <v>109</v>
      </c>
      <c r="P96" s="3">
        <f>H6</f>
        <v>75</v>
      </c>
      <c r="R96" s="3">
        <f>RADIANS(P96)</f>
        <v>1.3089969389957472</v>
      </c>
      <c r="T96" s="1" t="s">
        <v>111</v>
      </c>
      <c r="U96" s="3">
        <f>RADIANS(270)-R96</f>
        <v>3.4033920413889422</v>
      </c>
      <c r="W96" s="1" t="s">
        <v>113</v>
      </c>
      <c r="X96" s="3">
        <f>P97*(COS(U96)*COS(U98)+SIN(U96)*SIN(U98))</f>
        <v>-4.3301270189221945</v>
      </c>
    </row>
    <row r="97" spans="15:24" ht="15" customHeight="1" x14ac:dyDescent="0.2">
      <c r="O97" s="83" t="s">
        <v>110</v>
      </c>
      <c r="P97" s="3">
        <f>H7</f>
        <v>5</v>
      </c>
    </row>
    <row r="98" spans="15:24" ht="15" customHeight="1" x14ac:dyDescent="0.2">
      <c r="O98" s="83" t="s">
        <v>70</v>
      </c>
      <c r="P98" s="3">
        <f>H5</f>
        <v>105</v>
      </c>
      <c r="R98" s="3">
        <f>RADIANS(P98)</f>
        <v>1.8325957145940461</v>
      </c>
      <c r="T98" s="1" t="s">
        <v>112</v>
      </c>
      <c r="U98" s="3">
        <f>RADIANS(90)-R98</f>
        <v>-0.26179938779914957</v>
      </c>
      <c r="W98" s="1" t="s">
        <v>114</v>
      </c>
      <c r="X98" s="84">
        <f>P97*(SIN(U96)*COS(U98)-COS(U96)*SIN(U98))</f>
        <v>-2.4999999999999991</v>
      </c>
    </row>
  </sheetData>
  <sheetProtection password="C72C" sheet="1" objects="1" scenarios="1"/>
  <mergeCells count="59">
    <mergeCell ref="K7:L7"/>
    <mergeCell ref="B1:D1"/>
    <mergeCell ref="K3:L3"/>
    <mergeCell ref="F25:G25"/>
    <mergeCell ref="F23:G23"/>
    <mergeCell ref="G3:H3"/>
    <mergeCell ref="F1:M1"/>
    <mergeCell ref="K9:L9"/>
    <mergeCell ref="F15:M15"/>
    <mergeCell ref="F19:M19"/>
    <mergeCell ref="P41:Q41"/>
    <mergeCell ref="V41:W41"/>
    <mergeCell ref="S44:T44"/>
    <mergeCell ref="S47:T47"/>
    <mergeCell ref="P37:Q37"/>
    <mergeCell ref="V37:W37"/>
    <mergeCell ref="P38:Q38"/>
    <mergeCell ref="V38:W38"/>
    <mergeCell ref="V50:AA50"/>
    <mergeCell ref="P51:R51"/>
    <mergeCell ref="S51:U51"/>
    <mergeCell ref="V51:X51"/>
    <mergeCell ref="Y51:AA51"/>
    <mergeCell ref="P73:R73"/>
    <mergeCell ref="S73:U73"/>
    <mergeCell ref="V73:X73"/>
    <mergeCell ref="Y73:AA73"/>
    <mergeCell ref="P71:U71"/>
    <mergeCell ref="V71:AA71"/>
    <mergeCell ref="P72:R72"/>
    <mergeCell ref="S72:U72"/>
    <mergeCell ref="V72:X72"/>
    <mergeCell ref="Y72:AA72"/>
    <mergeCell ref="AU14:AV14"/>
    <mergeCell ref="AC55:AD55"/>
    <mergeCell ref="P2:R2"/>
    <mergeCell ref="S2:U2"/>
    <mergeCell ref="V2:X2"/>
    <mergeCell ref="Y2:AA2"/>
    <mergeCell ref="AC27:AD27"/>
    <mergeCell ref="AC32:AD32"/>
    <mergeCell ref="P23:R23"/>
    <mergeCell ref="S23:U23"/>
    <mergeCell ref="Y23:AA23"/>
    <mergeCell ref="P52:R52"/>
    <mergeCell ref="S52:U52"/>
    <mergeCell ref="V52:X52"/>
    <mergeCell ref="Y52:AA52"/>
    <mergeCell ref="P50:U50"/>
    <mergeCell ref="P17:Q17"/>
    <mergeCell ref="V17:W17"/>
    <mergeCell ref="P18:Q18"/>
    <mergeCell ref="V18:W18"/>
    <mergeCell ref="V23:X23"/>
    <mergeCell ref="AC60:AD60"/>
    <mergeCell ref="AC76:AD76"/>
    <mergeCell ref="AC81:AD81"/>
    <mergeCell ref="AC6:AD6"/>
    <mergeCell ref="AC11:AD11"/>
  </mergeCells>
  <phoneticPr fontId="0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514C-8704-46B0-B2D2-022C79F16618}">
  <dimension ref="B1:BD98"/>
  <sheetViews>
    <sheetView workbookViewId="0">
      <selection activeCell="AY17" sqref="AY17"/>
    </sheetView>
  </sheetViews>
  <sheetFormatPr baseColWidth="10" defaultColWidth="10.7109375" defaultRowHeight="15" customHeight="1" outlineLevelCol="1" x14ac:dyDescent="0.2"/>
  <cols>
    <col min="1" max="1" width="4.7109375" style="1" customWidth="1"/>
    <col min="2" max="4" width="11.42578125" style="1" customWidth="1"/>
    <col min="5" max="5" width="4.7109375" style="1" customWidth="1"/>
    <col min="6" max="6" width="15.7109375" style="1" customWidth="1"/>
    <col min="7" max="7" width="14.42578125" style="1" customWidth="1"/>
    <col min="8" max="8" width="13.140625" style="1" customWidth="1"/>
    <col min="9" max="9" width="14.140625" style="1" customWidth="1"/>
    <col min="10" max="10" width="16.42578125" style="1" bestFit="1" customWidth="1"/>
    <col min="11" max="11" width="5.7109375" style="1" customWidth="1"/>
    <col min="12" max="12" width="5.7109375" style="1" customWidth="1" outlineLevel="1"/>
    <col min="13" max="14" width="4.7109375" style="1" customWidth="1" outlineLevel="1"/>
    <col min="15" max="24" width="7.7109375" style="1" hidden="1" customWidth="1" outlineLevel="1"/>
    <col min="25" max="28" width="7.7109375" style="1" hidden="1" customWidth="1"/>
    <col min="29" max="30" width="5.7109375" style="1" hidden="1" customWidth="1"/>
    <col min="31" max="31" width="9.28515625" style="1" hidden="1" customWidth="1"/>
    <col min="32" max="44" width="5.7109375" style="1" hidden="1" customWidth="1"/>
    <col min="45" max="45" width="10.7109375" style="2" hidden="1" customWidth="1"/>
    <col min="46" max="46" width="10.5703125" style="2" hidden="1" customWidth="1"/>
    <col min="47" max="47" width="11.42578125" style="2" hidden="1" customWidth="1"/>
    <col min="48" max="48" width="13.5703125" style="2" hidden="1" customWidth="1"/>
    <col min="49" max="49" width="10.7109375" style="1" hidden="1" customWidth="1"/>
    <col min="50" max="56" width="10.7109375" style="1" customWidth="1"/>
    <col min="57" max="16384" width="10.7109375" style="1"/>
  </cols>
  <sheetData>
    <row r="1" spans="2:56" ht="24.95" customHeight="1" thickTop="1" thickBot="1" x14ac:dyDescent="0.25">
      <c r="B1" s="905" t="s">
        <v>80</v>
      </c>
      <c r="C1" s="906"/>
      <c r="D1" s="907"/>
      <c r="F1" s="905" t="s">
        <v>94</v>
      </c>
      <c r="G1" s="906"/>
      <c r="H1" s="906"/>
      <c r="I1" s="906"/>
      <c r="J1" s="906"/>
      <c r="K1" s="906"/>
      <c r="L1" s="906"/>
      <c r="M1" s="907"/>
      <c r="O1" s="16" t="s">
        <v>9</v>
      </c>
      <c r="R1"/>
      <c r="S1"/>
      <c r="T1"/>
      <c r="U1"/>
      <c r="V1"/>
      <c r="W1"/>
      <c r="X1"/>
      <c r="Y1"/>
      <c r="Z1"/>
      <c r="AA1"/>
      <c r="AT1" s="2" t="s">
        <v>288</v>
      </c>
      <c r="AU1" s="2" t="s">
        <v>292</v>
      </c>
      <c r="AV1" s="2" t="s">
        <v>293</v>
      </c>
    </row>
    <row r="2" spans="2:56" ht="15" customHeight="1" thickTop="1" thickBot="1" x14ac:dyDescent="0.25">
      <c r="B2" s="33"/>
      <c r="D2" s="34"/>
      <c r="F2" s="33"/>
      <c r="M2" s="34"/>
      <c r="O2" s="8"/>
      <c r="P2" s="947" t="s">
        <v>10</v>
      </c>
      <c r="Q2" s="961"/>
      <c r="R2" s="961"/>
      <c r="S2" s="962" t="s">
        <v>11</v>
      </c>
      <c r="T2" s="963"/>
      <c r="U2" s="963"/>
      <c r="V2" s="957" t="s">
        <v>10</v>
      </c>
      <c r="W2" s="958"/>
      <c r="X2" s="958"/>
      <c r="Y2" s="964" t="s">
        <v>11</v>
      </c>
      <c r="Z2" s="964"/>
      <c r="AA2" s="965"/>
      <c r="AM2"/>
      <c r="AN2"/>
      <c r="AO2"/>
      <c r="AP2"/>
      <c r="AQ2"/>
      <c r="AR2"/>
      <c r="AS2" s="4" t="s">
        <v>289</v>
      </c>
      <c r="AT2" s="4">
        <v>565</v>
      </c>
      <c r="AU2" s="2">
        <v>0.34200000000000003</v>
      </c>
      <c r="AV2" s="2">
        <f>AT2*AU2</f>
        <v>193.23000000000002</v>
      </c>
    </row>
    <row r="3" spans="2:56" ht="15" customHeight="1" thickBot="1" x14ac:dyDescent="0.25">
      <c r="B3" s="61" t="s">
        <v>81</v>
      </c>
      <c r="C3" s="56" t="s">
        <v>360</v>
      </c>
      <c r="D3" s="34"/>
      <c r="F3" s="33"/>
      <c r="G3" s="914" t="s">
        <v>47</v>
      </c>
      <c r="H3" s="915"/>
      <c r="K3" s="908" t="s">
        <v>58</v>
      </c>
      <c r="L3" s="909"/>
      <c r="M3" s="34"/>
      <c r="O3" s="8"/>
      <c r="P3" s="429" t="s">
        <v>189</v>
      </c>
      <c r="Q3" s="430" t="s">
        <v>14</v>
      </c>
      <c r="R3" s="431" t="s">
        <v>190</v>
      </c>
      <c r="S3" s="432" t="s">
        <v>189</v>
      </c>
      <c r="T3" s="432" t="s">
        <v>14</v>
      </c>
      <c r="U3" s="433" t="s">
        <v>190</v>
      </c>
      <c r="V3" s="132" t="s">
        <v>189</v>
      </c>
      <c r="W3" s="115" t="s">
        <v>14</v>
      </c>
      <c r="X3" s="134" t="s">
        <v>190</v>
      </c>
      <c r="Y3" s="439" t="s">
        <v>189</v>
      </c>
      <c r="Z3" s="439" t="s">
        <v>14</v>
      </c>
      <c r="AA3" s="440" t="s">
        <v>190</v>
      </c>
      <c r="AM3"/>
      <c r="AN3" s="4"/>
      <c r="AO3" s="4"/>
      <c r="AP3" s="4"/>
      <c r="AQ3" s="4"/>
      <c r="AR3" s="4"/>
      <c r="AS3" s="4"/>
      <c r="AT3" s="4"/>
      <c r="AU3" s="4"/>
    </row>
    <row r="4" spans="2:56" ht="15" customHeight="1" thickBot="1" x14ac:dyDescent="0.25">
      <c r="B4" s="33"/>
      <c r="D4" s="34"/>
      <c r="F4" s="33"/>
      <c r="M4" s="34"/>
      <c r="O4" s="8" t="s">
        <v>1</v>
      </c>
      <c r="P4" s="212" t="s">
        <v>5</v>
      </c>
      <c r="Q4" s="17" t="s">
        <v>5</v>
      </c>
      <c r="R4" s="17" t="s">
        <v>5</v>
      </c>
      <c r="S4" s="329" t="s">
        <v>5</v>
      </c>
      <c r="T4" s="329" t="s">
        <v>5</v>
      </c>
      <c r="U4" s="435" t="s">
        <v>5</v>
      </c>
      <c r="V4" s="212" t="s">
        <v>12</v>
      </c>
      <c r="W4" s="17" t="s">
        <v>12</v>
      </c>
      <c r="X4" s="17" t="s">
        <v>12</v>
      </c>
      <c r="Y4" s="329" t="s">
        <v>12</v>
      </c>
      <c r="Z4" s="329" t="s">
        <v>12</v>
      </c>
      <c r="AA4" s="435" t="s">
        <v>12</v>
      </c>
      <c r="AF4" s="1" t="s">
        <v>40</v>
      </c>
      <c r="AI4" s="1" t="s">
        <v>41</v>
      </c>
      <c r="AL4" s="1" t="s">
        <v>185</v>
      </c>
      <c r="AM4"/>
      <c r="AN4" s="4"/>
      <c r="AO4" s="4" t="s">
        <v>186</v>
      </c>
      <c r="AP4" s="4"/>
      <c r="AQ4" s="4"/>
      <c r="AR4" s="4"/>
      <c r="AS4" s="4" t="s">
        <v>290</v>
      </c>
      <c r="AT4" s="4">
        <f>C7+C8</f>
        <v>160</v>
      </c>
      <c r="AU4" s="4">
        <v>0.41</v>
      </c>
      <c r="AV4" s="2">
        <f>AT4*AU4</f>
        <v>65.599999999999994</v>
      </c>
    </row>
    <row r="5" spans="2:56" ht="15" customHeight="1" thickBot="1" x14ac:dyDescent="0.25">
      <c r="B5" s="62" t="s">
        <v>82</v>
      </c>
      <c r="C5" s="57">
        <v>551</v>
      </c>
      <c r="D5" s="44" t="s">
        <v>65</v>
      </c>
      <c r="F5" s="68" t="s">
        <v>75</v>
      </c>
      <c r="G5" s="5" t="s">
        <v>70</v>
      </c>
      <c r="H5" s="92">
        <v>105</v>
      </c>
      <c r="M5" s="34"/>
      <c r="O5" s="1">
        <v>0</v>
      </c>
      <c r="P5" s="229">
        <v>225</v>
      </c>
      <c r="Q5" s="3">
        <v>255</v>
      </c>
      <c r="R5" s="3">
        <v>285</v>
      </c>
      <c r="S5" s="325">
        <v>315</v>
      </c>
      <c r="T5" s="434">
        <v>360</v>
      </c>
      <c r="U5" s="234">
        <v>410</v>
      </c>
      <c r="V5" s="229">
        <v>480</v>
      </c>
      <c r="W5" s="3">
        <v>535</v>
      </c>
      <c r="X5" s="3">
        <v>590</v>
      </c>
      <c r="Y5" s="325">
        <v>570</v>
      </c>
      <c r="Z5" s="434">
        <v>640</v>
      </c>
      <c r="AA5" s="234">
        <v>715</v>
      </c>
      <c r="AC5" s="2"/>
      <c r="AD5" s="2"/>
      <c r="AE5" s="406" t="s">
        <v>27</v>
      </c>
      <c r="AF5" s="254">
        <v>225</v>
      </c>
      <c r="AG5" s="238">
        <v>0.02</v>
      </c>
      <c r="AH5" s="2"/>
      <c r="AI5" s="412">
        <v>315</v>
      </c>
      <c r="AJ5" s="413">
        <v>3.6249999999999998E-2</v>
      </c>
      <c r="AL5" s="423">
        <v>480</v>
      </c>
      <c r="AM5" s="238">
        <v>4.1250000000000002E-2</v>
      </c>
      <c r="AN5"/>
      <c r="AO5" s="412">
        <v>570</v>
      </c>
      <c r="AP5" s="413">
        <v>5.7500000000000002E-2</v>
      </c>
      <c r="AQ5"/>
      <c r="AR5"/>
      <c r="AS5" s="4" t="s">
        <v>155</v>
      </c>
      <c r="AT5" s="4">
        <f>C9+C10</f>
        <v>75</v>
      </c>
      <c r="AU5" s="2">
        <v>1.19</v>
      </c>
      <c r="AV5" s="2">
        <f>AT5*AU5</f>
        <v>89.25</v>
      </c>
      <c r="AW5" s="2"/>
      <c r="AX5" s="2"/>
      <c r="AY5" s="2"/>
      <c r="AZ5" s="2"/>
      <c r="BA5" s="2"/>
      <c r="BB5" s="2"/>
      <c r="BC5" s="2"/>
      <c r="BD5" s="2"/>
    </row>
    <row r="6" spans="2:56" ht="15" customHeight="1" thickBot="1" x14ac:dyDescent="0.25">
      <c r="B6" s="62"/>
      <c r="D6" s="44"/>
      <c r="F6" s="68" t="s">
        <v>74</v>
      </c>
      <c r="G6" s="5" t="s">
        <v>71</v>
      </c>
      <c r="H6" s="93">
        <v>75</v>
      </c>
      <c r="J6" s="5" t="s">
        <v>95</v>
      </c>
      <c r="K6" s="85" t="str">
        <f>IF(X98&lt;0,"D","G")</f>
        <v>D</v>
      </c>
      <c r="L6" s="86">
        <f>IF(X98&gt;0,X98,-X98)</f>
        <v>2.4999999999999991</v>
      </c>
      <c r="M6" s="34"/>
      <c r="O6" s="27">
        <v>4000</v>
      </c>
      <c r="P6" s="229">
        <v>305</v>
      </c>
      <c r="Q6" s="3">
        <v>345</v>
      </c>
      <c r="R6" s="3">
        <v>390</v>
      </c>
      <c r="S6" s="325">
        <v>460</v>
      </c>
      <c r="T6" s="434">
        <v>530</v>
      </c>
      <c r="U6" s="234">
        <v>615</v>
      </c>
      <c r="V6" s="229">
        <v>645</v>
      </c>
      <c r="W6" s="3">
        <v>720</v>
      </c>
      <c r="X6" s="3">
        <v>800</v>
      </c>
      <c r="Y6" s="325">
        <v>800</v>
      </c>
      <c r="Z6" s="434">
        <v>905</v>
      </c>
      <c r="AA6" s="234">
        <v>1025</v>
      </c>
      <c r="AB6" s="16"/>
      <c r="AC6" s="839" t="s">
        <v>187</v>
      </c>
      <c r="AD6" s="956"/>
      <c r="AE6" s="407" t="s">
        <v>14</v>
      </c>
      <c r="AF6" s="252">
        <v>255</v>
      </c>
      <c r="AG6" s="408">
        <v>2.2499999999999999E-2</v>
      </c>
      <c r="AI6" s="414">
        <v>360</v>
      </c>
      <c r="AJ6" s="415">
        <v>4.2500000000000003E-2</v>
      </c>
      <c r="AL6" s="424">
        <v>535</v>
      </c>
      <c r="AM6" s="408">
        <v>4.6249999999999999E-2</v>
      </c>
      <c r="AN6"/>
      <c r="AO6" s="414">
        <v>640</v>
      </c>
      <c r="AP6" s="415">
        <v>6.6250000000000003E-2</v>
      </c>
      <c r="AQ6"/>
      <c r="AR6"/>
      <c r="AS6" s="4" t="s">
        <v>86</v>
      </c>
      <c r="AT6" s="4">
        <f>C11</f>
        <v>20</v>
      </c>
      <c r="AU6" s="2">
        <v>1.9</v>
      </c>
      <c r="AV6" s="2">
        <f>AT6*AU6</f>
        <v>38</v>
      </c>
    </row>
    <row r="7" spans="2:56" ht="15" customHeight="1" thickBot="1" x14ac:dyDescent="0.25">
      <c r="B7" s="62" t="s">
        <v>83</v>
      </c>
      <c r="C7" s="92">
        <v>80</v>
      </c>
      <c r="D7" s="44" t="s">
        <v>65</v>
      </c>
      <c r="F7" s="68" t="s">
        <v>69</v>
      </c>
      <c r="G7" s="5" t="s">
        <v>72</v>
      </c>
      <c r="H7" s="93">
        <v>5</v>
      </c>
      <c r="J7" s="5" t="s">
        <v>73</v>
      </c>
      <c r="K7" s="903">
        <f>X96</f>
        <v>-4.3301270189221945</v>
      </c>
      <c r="L7" s="904"/>
      <c r="M7" s="34"/>
      <c r="O7" s="28">
        <v>8000</v>
      </c>
      <c r="P7" s="230">
        <v>425</v>
      </c>
      <c r="Q7" s="436">
        <v>475</v>
      </c>
      <c r="R7" s="436">
        <v>535</v>
      </c>
      <c r="S7" s="437">
        <v>700</v>
      </c>
      <c r="T7" s="437">
        <v>820</v>
      </c>
      <c r="U7" s="438">
        <v>960</v>
      </c>
      <c r="V7" s="230">
        <v>890</v>
      </c>
      <c r="W7" s="436">
        <v>1000</v>
      </c>
      <c r="X7" s="436">
        <v>1125</v>
      </c>
      <c r="Y7" s="437">
        <v>1165</v>
      </c>
      <c r="Z7" s="437">
        <v>1350</v>
      </c>
      <c r="AA7" s="438">
        <v>1550</v>
      </c>
      <c r="AB7" s="16"/>
      <c r="AE7" s="409" t="s">
        <v>28</v>
      </c>
      <c r="AF7" s="410">
        <v>285</v>
      </c>
      <c r="AG7" s="411">
        <v>2.6249999999999999E-2</v>
      </c>
      <c r="AI7" s="416">
        <v>410</v>
      </c>
      <c r="AJ7" s="417">
        <v>5.1249999999999997E-2</v>
      </c>
      <c r="AL7" s="425">
        <v>590</v>
      </c>
      <c r="AM7" s="411">
        <v>5.2499999999999998E-2</v>
      </c>
      <c r="AN7"/>
      <c r="AO7" s="426">
        <v>715</v>
      </c>
      <c r="AP7" s="427">
        <v>7.7499999999999999E-2</v>
      </c>
      <c r="AQ7"/>
      <c r="AR7"/>
      <c r="AS7" s="4"/>
      <c r="AT7" s="4"/>
    </row>
    <row r="8" spans="2:56" ht="15" customHeight="1" thickBot="1" x14ac:dyDescent="0.25">
      <c r="B8" s="62" t="s">
        <v>84</v>
      </c>
      <c r="C8" s="93">
        <v>80</v>
      </c>
      <c r="D8" s="44" t="s">
        <v>65</v>
      </c>
      <c r="F8" s="68" t="s">
        <v>65</v>
      </c>
      <c r="G8" s="5" t="s">
        <v>2</v>
      </c>
      <c r="H8" s="70">
        <f>C22</f>
        <v>884.98</v>
      </c>
      <c r="M8" s="34"/>
      <c r="P8"/>
      <c r="Q8"/>
      <c r="R8"/>
      <c r="S8"/>
      <c r="T8"/>
      <c r="U8"/>
      <c r="V8"/>
      <c r="W8"/>
      <c r="X8"/>
      <c r="Y8"/>
      <c r="Z8"/>
      <c r="AA8"/>
      <c r="AB8" s="16"/>
      <c r="AL8" s="16"/>
      <c r="AM8" s="21"/>
      <c r="AN8"/>
      <c r="AO8"/>
      <c r="AP8"/>
      <c r="AQ8"/>
      <c r="AR8"/>
      <c r="AS8" s="4" t="s">
        <v>291</v>
      </c>
      <c r="AT8" s="620">
        <f>C20</f>
        <v>78.97999999999999</v>
      </c>
      <c r="AU8" s="2">
        <v>1.1200000000000001</v>
      </c>
      <c r="AV8" s="2">
        <f>AT8*AU8</f>
        <v>88.457599999999999</v>
      </c>
    </row>
    <row r="9" spans="2:56" ht="15" customHeight="1" thickBot="1" x14ac:dyDescent="0.25">
      <c r="B9" s="62" t="s">
        <v>85</v>
      </c>
      <c r="C9" s="93">
        <v>75</v>
      </c>
      <c r="D9" s="44" t="s">
        <v>65</v>
      </c>
      <c r="F9" s="68" t="s">
        <v>66</v>
      </c>
      <c r="G9" s="5" t="s">
        <v>7</v>
      </c>
      <c r="H9" s="93">
        <v>426</v>
      </c>
      <c r="I9" s="60" t="str">
        <f>IF(H9&gt;8000,"8000 ft max","")</f>
        <v/>
      </c>
      <c r="J9" s="5" t="s">
        <v>96</v>
      </c>
      <c r="K9" s="916">
        <f>IF(H11&gt;1013,H9-(H11-1013)*28,H9+(1013-H11)*28)</f>
        <v>426</v>
      </c>
      <c r="L9" s="917"/>
      <c r="M9" s="34"/>
      <c r="O9" s="2" t="s">
        <v>42</v>
      </c>
      <c r="P9" s="48">
        <f>AF5+AG5*$K$9</f>
        <v>233.52</v>
      </c>
      <c r="Q9" s="48">
        <f>AF6+AG6*$K$9</f>
        <v>264.58499999999998</v>
      </c>
      <c r="R9" s="48">
        <f>AF7+AG7*$K$9</f>
        <v>296.1825</v>
      </c>
      <c r="S9" s="396">
        <f>AI5+AJ5*$K$9</f>
        <v>330.4425</v>
      </c>
      <c r="T9" s="396">
        <f>AI6+AJ6*$K$9</f>
        <v>378.10500000000002</v>
      </c>
      <c r="U9" s="396">
        <f>AI7+AJ7*$K$9</f>
        <v>431.83249999999998</v>
      </c>
      <c r="V9" s="48">
        <f>AL5+AM5*$K$9</f>
        <v>497.57249999999999</v>
      </c>
      <c r="W9" s="48">
        <f>AL6+AM6*$K$9</f>
        <v>554.70249999999999</v>
      </c>
      <c r="X9" s="48">
        <f>AL7+AM7*$K$9</f>
        <v>612.36500000000001</v>
      </c>
      <c r="Y9" s="396">
        <f>AO5+AP5*$K$9</f>
        <v>594.495</v>
      </c>
      <c r="Z9" s="396">
        <f>AO6+AP6*$K$9</f>
        <v>668.22249999999997</v>
      </c>
      <c r="AA9" s="396">
        <f>AO7+AP7*$K$9</f>
        <v>748.01499999999999</v>
      </c>
      <c r="AB9" s="16"/>
      <c r="AC9" s="237"/>
      <c r="AD9" s="237"/>
      <c r="AE9" s="405"/>
      <c r="AF9" s="237" t="s">
        <v>40</v>
      </c>
      <c r="AG9" s="237"/>
      <c r="AH9" s="237"/>
      <c r="AI9" s="237" t="s">
        <v>41</v>
      </c>
      <c r="AJ9" s="237"/>
      <c r="AK9" s="237"/>
      <c r="AL9" s="237" t="s">
        <v>186</v>
      </c>
      <c r="AM9" s="237"/>
      <c r="AN9" s="237"/>
      <c r="AO9" t="s">
        <v>186</v>
      </c>
      <c r="AP9"/>
      <c r="AQ9"/>
      <c r="AR9"/>
      <c r="AS9" s="4"/>
      <c r="AT9" s="4"/>
    </row>
    <row r="10" spans="2:56" ht="15" customHeight="1" thickBot="1" x14ac:dyDescent="0.25">
      <c r="B10" s="62" t="s">
        <v>85</v>
      </c>
      <c r="C10" s="93"/>
      <c r="D10" s="44" t="s">
        <v>65</v>
      </c>
      <c r="F10" s="68" t="s">
        <v>67</v>
      </c>
      <c r="G10" s="5" t="s">
        <v>0</v>
      </c>
      <c r="H10" s="93">
        <v>32</v>
      </c>
      <c r="I10" s="60" t="str">
        <f>IF(H10&gt;35,"35° max","")</f>
        <v/>
      </c>
      <c r="M10" s="34"/>
      <c r="P10"/>
      <c r="Q10"/>
      <c r="R10"/>
      <c r="S10"/>
      <c r="T10"/>
      <c r="U10"/>
      <c r="V10"/>
      <c r="W10"/>
      <c r="X10"/>
      <c r="Y10"/>
      <c r="Z10"/>
      <c r="AA10"/>
      <c r="AB10" s="16"/>
      <c r="AE10" s="418" t="s">
        <v>27</v>
      </c>
      <c r="AF10" s="254">
        <v>185</v>
      </c>
      <c r="AG10" s="238">
        <v>0.03</v>
      </c>
      <c r="AI10" s="412">
        <v>220</v>
      </c>
      <c r="AJ10" s="413">
        <v>0.06</v>
      </c>
      <c r="AL10" s="423">
        <v>400</v>
      </c>
      <c r="AM10" s="238">
        <v>6.1249999999999999E-2</v>
      </c>
      <c r="AN10"/>
      <c r="AO10" s="412">
        <v>435</v>
      </c>
      <c r="AP10" s="413">
        <v>9.1249999999999998E-2</v>
      </c>
      <c r="AQ10"/>
      <c r="AR10"/>
      <c r="AS10" s="4" t="s">
        <v>92</v>
      </c>
      <c r="AT10" s="4">
        <f>SUM(AT2:AT8)</f>
        <v>898.98</v>
      </c>
      <c r="AU10" s="629">
        <f>AV10/AT10</f>
        <v>0.52786224387639324</v>
      </c>
      <c r="AV10" s="2">
        <f>SUM(AV2:AV8)</f>
        <v>474.53760000000005</v>
      </c>
    </row>
    <row r="11" spans="2:56" ht="15" customHeight="1" thickTop="1" thickBot="1" x14ac:dyDescent="0.25">
      <c r="B11" s="62" t="s">
        <v>86</v>
      </c>
      <c r="C11" s="94">
        <v>20</v>
      </c>
      <c r="D11" s="44" t="s">
        <v>65</v>
      </c>
      <c r="F11" s="68" t="s">
        <v>68</v>
      </c>
      <c r="G11" s="5" t="s">
        <v>8</v>
      </c>
      <c r="H11" s="93">
        <v>1013</v>
      </c>
      <c r="J11" s="43" t="s">
        <v>33</v>
      </c>
      <c r="K11" s="65" t="s">
        <v>57</v>
      </c>
      <c r="M11" s="34"/>
      <c r="O11" s="2" t="s">
        <v>43</v>
      </c>
      <c r="P11" s="48">
        <f>AF10+AG10*$K$9</f>
        <v>197.78</v>
      </c>
      <c r="Q11" s="48">
        <f>AF11+AG11*$K$9</f>
        <v>228.845</v>
      </c>
      <c r="R11" s="48">
        <f>AF12+AG12*$K$9</f>
        <v>260.4425</v>
      </c>
      <c r="S11" s="396">
        <f>AI10+AJ10*$K$9</f>
        <v>245.56</v>
      </c>
      <c r="T11" s="396">
        <f>AI11+AJ11*$K$9</f>
        <v>270.88499999999999</v>
      </c>
      <c r="U11" s="396">
        <f>AI12+AJ12*$K$9</f>
        <v>306.74250000000001</v>
      </c>
      <c r="V11" s="48">
        <f>AL10+AM10*$K$9</f>
        <v>426.09249999999997</v>
      </c>
      <c r="W11" s="48">
        <f>AL11+AM11*$K$9</f>
        <v>469.82</v>
      </c>
      <c r="X11" s="48">
        <f>AL12+AM12*$K$9</f>
        <v>509.61250000000001</v>
      </c>
      <c r="Y11" s="396">
        <f>AO10+AP10*$K$9</f>
        <v>473.8725</v>
      </c>
      <c r="Z11" s="396">
        <f>AO11+AP11*$K$9</f>
        <v>507.39249999999998</v>
      </c>
      <c r="AA11" s="396">
        <f>AO12+AP12*$K$9</f>
        <v>555.91250000000002</v>
      </c>
      <c r="AB11" s="16"/>
      <c r="AC11" s="955" t="s">
        <v>188</v>
      </c>
      <c r="AD11" s="955"/>
      <c r="AE11" s="419" t="s">
        <v>14</v>
      </c>
      <c r="AF11" s="252">
        <v>215</v>
      </c>
      <c r="AG11" s="408">
        <v>3.2500000000000001E-2</v>
      </c>
      <c r="AI11" s="414">
        <v>240</v>
      </c>
      <c r="AJ11" s="415">
        <v>7.2499999999999995E-2</v>
      </c>
      <c r="AL11" s="424">
        <v>440</v>
      </c>
      <c r="AM11" s="408">
        <v>7.0000000000000007E-2</v>
      </c>
      <c r="AN11"/>
      <c r="AO11" s="414">
        <v>460</v>
      </c>
      <c r="AP11" s="415">
        <v>0.11125</v>
      </c>
      <c r="AQ11"/>
      <c r="AR11"/>
      <c r="AS11" s="4"/>
      <c r="AT11" s="4"/>
    </row>
    <row r="12" spans="2:56" ht="15" customHeight="1" thickBot="1" x14ac:dyDescent="0.25">
      <c r="B12" s="62"/>
      <c r="C12" s="58" t="s">
        <v>87</v>
      </c>
      <c r="D12" s="44" t="s">
        <v>88</v>
      </c>
      <c r="F12" s="68"/>
      <c r="G12" s="5" t="s">
        <v>16</v>
      </c>
      <c r="H12" s="95" t="s">
        <v>64</v>
      </c>
      <c r="I12" s="79" t="str">
        <f>IF(H12&lt;&gt;"d",IF(H12&lt;&gt;"h","choisissez d ou h",""),"")</f>
        <v/>
      </c>
      <c r="J12" s="43" t="s">
        <v>32</v>
      </c>
      <c r="K12" s="66" t="s">
        <v>64</v>
      </c>
      <c r="M12" s="34"/>
      <c r="P12"/>
      <c r="Q12"/>
      <c r="R12"/>
      <c r="S12"/>
      <c r="T12"/>
      <c r="U12"/>
      <c r="V12"/>
      <c r="W12"/>
      <c r="X12"/>
      <c r="Y12"/>
      <c r="Z12"/>
      <c r="AA12"/>
      <c r="AB12" s="16"/>
      <c r="AC12" s="237"/>
      <c r="AD12" s="237"/>
      <c r="AE12" s="420" t="s">
        <v>28</v>
      </c>
      <c r="AF12" s="410">
        <v>245</v>
      </c>
      <c r="AG12" s="411">
        <v>3.6249999999999998E-2</v>
      </c>
      <c r="AI12" s="397">
        <v>270</v>
      </c>
      <c r="AJ12" s="398">
        <v>8.6249999999999993E-2</v>
      </c>
      <c r="AL12" s="425">
        <v>475</v>
      </c>
      <c r="AM12" s="411">
        <v>8.1250000000000003E-2</v>
      </c>
      <c r="AN12"/>
      <c r="AO12" s="421">
        <v>500</v>
      </c>
      <c r="AP12" s="422">
        <v>0.13125000000000001</v>
      </c>
      <c r="AQ12"/>
      <c r="AR12"/>
      <c r="AS12" s="4"/>
      <c r="AT12" s="4" t="s">
        <v>300</v>
      </c>
      <c r="AU12" s="597">
        <f>(672.6457399*AU10) + 612.1076233</f>
        <v>967.17191289751077</v>
      </c>
    </row>
    <row r="13" spans="2:56" ht="15" customHeight="1" thickTop="1" thickBot="1" x14ac:dyDescent="0.25">
      <c r="B13" s="62" t="s">
        <v>89</v>
      </c>
      <c r="C13" s="105">
        <v>110</v>
      </c>
      <c r="D13" s="59"/>
      <c r="F13" s="68" t="s">
        <v>69</v>
      </c>
      <c r="G13" s="5" t="s">
        <v>22</v>
      </c>
      <c r="H13" s="108">
        <f>K7</f>
        <v>-4.3301270189221945</v>
      </c>
      <c r="M13" s="34"/>
      <c r="O13" s="2" t="s">
        <v>23</v>
      </c>
      <c r="P13" s="399">
        <f>IF($K$9&gt;=4000,P11,P9)</f>
        <v>233.52</v>
      </c>
      <c r="Q13" s="308">
        <f t="shared" ref="Q13:AA13" si="0">IF($K$9&gt;=4000,Q11,Q9)</f>
        <v>264.58499999999998</v>
      </c>
      <c r="R13" s="308">
        <f t="shared" si="0"/>
        <v>296.1825</v>
      </c>
      <c r="S13" s="301">
        <f t="shared" si="0"/>
        <v>330.4425</v>
      </c>
      <c r="T13" s="301">
        <f t="shared" si="0"/>
        <v>378.10500000000002</v>
      </c>
      <c r="U13" s="452">
        <f t="shared" si="0"/>
        <v>431.83249999999998</v>
      </c>
      <c r="V13" s="399">
        <f t="shared" si="0"/>
        <v>497.57249999999999</v>
      </c>
      <c r="W13" s="308">
        <f t="shared" si="0"/>
        <v>554.70249999999999</v>
      </c>
      <c r="X13" s="308">
        <f t="shared" si="0"/>
        <v>612.36500000000001</v>
      </c>
      <c r="Y13" s="301">
        <f t="shared" si="0"/>
        <v>594.495</v>
      </c>
      <c r="Z13" s="301">
        <f t="shared" si="0"/>
        <v>668.22249999999997</v>
      </c>
      <c r="AA13" s="400">
        <f t="shared" si="0"/>
        <v>748.01499999999999</v>
      </c>
      <c r="AB13" s="16"/>
      <c r="AL13" s="16"/>
      <c r="AM13" s="21"/>
      <c r="AN13"/>
      <c r="AO13"/>
      <c r="AP13"/>
      <c r="AQ13"/>
      <c r="AR13"/>
      <c r="AS13" s="4"/>
      <c r="AT13" s="4"/>
    </row>
    <row r="14" spans="2:56" ht="15" customHeight="1" thickBot="1" x14ac:dyDescent="0.25">
      <c r="B14" s="62"/>
      <c r="C14" s="232" t="str">
        <f>IF(C13&gt;110,"max 110 Li","")</f>
        <v/>
      </c>
      <c r="D14" s="59"/>
      <c r="F14" s="33"/>
      <c r="M14" s="34"/>
      <c r="O14" s="2"/>
      <c r="P14"/>
      <c r="Q14"/>
      <c r="R14"/>
      <c r="S14"/>
      <c r="T14"/>
      <c r="U14"/>
      <c r="V14"/>
      <c r="W14"/>
      <c r="X14"/>
      <c r="Y14"/>
      <c r="Z14"/>
      <c r="AA14"/>
      <c r="AB14" s="16"/>
      <c r="AL14" s="16"/>
      <c r="AM14" s="21"/>
      <c r="AN14"/>
      <c r="AO14"/>
      <c r="AP14"/>
      <c r="AQ14"/>
      <c r="AR14"/>
      <c r="AS14" s="4"/>
      <c r="AT14" s="4" t="s">
        <v>301</v>
      </c>
      <c r="AU14" s="959" t="str">
        <f>IF(AU10&lt;0.205,"Hors Centrage AV",IF(AU10&gt;564,"Hors Centrage AR",IF(AU10&lt;0.428,IF(AT10&gt;AU12,"Hors Centrage AV","Centrage Correct"),"Centrage Correct")))</f>
        <v>Centrage Correct</v>
      </c>
      <c r="AV14" s="960"/>
    </row>
    <row r="15" spans="2:56" ht="24.95" customHeight="1" thickBot="1" x14ac:dyDescent="0.25">
      <c r="B15" s="62"/>
      <c r="C15" s="87"/>
      <c r="D15" s="59" t="str">
        <f>IF(C15&gt;40,"max 40 Li","")</f>
        <v/>
      </c>
      <c r="F15" s="918" t="s">
        <v>116</v>
      </c>
      <c r="G15" s="919"/>
      <c r="H15" s="919"/>
      <c r="I15" s="919"/>
      <c r="J15" s="919"/>
      <c r="K15" s="919"/>
      <c r="L15" s="919"/>
      <c r="M15" s="920"/>
      <c r="O15" s="2" t="s">
        <v>106</v>
      </c>
      <c r="P15" s="401">
        <f>15-H9/1000*2</f>
        <v>14.148</v>
      </c>
      <c r="Q15" s="2"/>
      <c r="R15" s="80" t="s">
        <v>107</v>
      </c>
      <c r="S15" s="402">
        <f>H10</f>
        <v>32</v>
      </c>
      <c r="T15"/>
      <c r="U15"/>
      <c r="V15"/>
      <c r="W15"/>
      <c r="X15"/>
      <c r="Y15"/>
      <c r="Z15"/>
      <c r="AA15"/>
      <c r="AB15" s="1" t="s">
        <v>4</v>
      </c>
    </row>
    <row r="16" spans="2:56" ht="15" customHeight="1" thickBot="1" x14ac:dyDescent="0.25">
      <c r="B16" s="62"/>
      <c r="C16" s="87"/>
      <c r="D16" s="59"/>
      <c r="F16" s="33"/>
      <c r="H16" s="77" t="s">
        <v>3</v>
      </c>
      <c r="I16" s="227" t="s">
        <v>97</v>
      </c>
      <c r="M16" s="34"/>
      <c r="O16" s="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M16"/>
      <c r="AN16" s="163"/>
      <c r="AO16" s="163"/>
      <c r="AP16" s="163"/>
      <c r="AQ16" s="163"/>
      <c r="AR16"/>
      <c r="AS16" s="4"/>
    </row>
    <row r="17" spans="2:45" ht="24.95" customHeight="1" thickBot="1" x14ac:dyDescent="0.25">
      <c r="B17" s="63" t="s">
        <v>92</v>
      </c>
      <c r="D17" s="44"/>
      <c r="F17" s="33"/>
      <c r="G17" s="67" t="s">
        <v>98</v>
      </c>
      <c r="H17" s="81">
        <f>U47</f>
        <v>363.42080140528049</v>
      </c>
      <c r="I17" s="82">
        <f>V47</f>
        <v>632.2454705950305</v>
      </c>
      <c r="J17" s="69" t="s">
        <v>48</v>
      </c>
      <c r="M17" s="34"/>
      <c r="O17" s="2"/>
      <c r="P17" s="892" t="s">
        <v>45</v>
      </c>
      <c r="Q17" s="892"/>
      <c r="R17" s="5" t="s">
        <v>5</v>
      </c>
      <c r="S17" s="5" t="s">
        <v>6</v>
      </c>
      <c r="T17"/>
      <c r="U17"/>
      <c r="V17" s="892" t="s">
        <v>44</v>
      </c>
      <c r="W17" s="892"/>
      <c r="X17" s="5" t="s">
        <v>5</v>
      </c>
      <c r="Y17" s="5" t="s">
        <v>6</v>
      </c>
      <c r="Z17"/>
      <c r="AA17"/>
      <c r="AB17" s="1" t="s">
        <v>4</v>
      </c>
      <c r="AC17" s="1" t="s">
        <v>4</v>
      </c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5"/>
      <c r="AR17"/>
      <c r="AS17" s="4"/>
    </row>
    <row r="18" spans="2:45" ht="15" customHeight="1" thickBot="1" x14ac:dyDescent="0.25">
      <c r="B18" s="64" t="s">
        <v>87</v>
      </c>
      <c r="C18" s="57">
        <f>SUM(C13:C17)</f>
        <v>110</v>
      </c>
      <c r="D18" s="44" t="s">
        <v>88</v>
      </c>
      <c r="F18" s="33"/>
      <c r="H18" s="459" t="s">
        <v>191</v>
      </c>
      <c r="I18" s="459" t="s">
        <v>183</v>
      </c>
      <c r="M18" s="34"/>
      <c r="O18" s="2"/>
      <c r="P18" s="839" t="s">
        <v>29</v>
      </c>
      <c r="Q18" s="839"/>
      <c r="R18" s="403">
        <f>IF(S15&gt;=P15,Q13+((R13-Q13)/20)*(S15-P15),Q13-((Q13-P13)/20)*(P15-S15))</f>
        <v>292.7889285</v>
      </c>
      <c r="S18" s="314">
        <f>IF(S15&gt;=P15,W13+((X13-W13)/20)*(S15-P15),W13-((W13-V13)/20)*(P15-S15))</f>
        <v>606.17204749999996</v>
      </c>
      <c r="T18"/>
      <c r="U18"/>
      <c r="V18" s="839" t="s">
        <v>29</v>
      </c>
      <c r="W18" s="839"/>
      <c r="X18" s="362">
        <f>IF(S15&gt;=P15,T13+((U13-T13)/20)*(S15-P15),T13-((T13-S13)/20)*(P15-S15))</f>
        <v>426.06216649999999</v>
      </c>
      <c r="Y18" s="404">
        <f>IF(S15&gt;=P15,Z13+((AA13-Z13)/20)*(S15-P15),Z13-((Z13-Y13)/20)*(P15-S15))</f>
        <v>739.44528549999995</v>
      </c>
      <c r="Z18"/>
      <c r="AA18"/>
      <c r="AC18" s="1" t="s">
        <v>4</v>
      </c>
      <c r="AE18" s="4"/>
      <c r="AF18" s="4"/>
      <c r="AG18" s="4"/>
      <c r="AH18" s="4"/>
      <c r="AI18" s="2"/>
      <c r="AJ18" s="2"/>
      <c r="AK18" s="4"/>
      <c r="AL18" s="4"/>
      <c r="AM18" s="4"/>
      <c r="AN18" s="4"/>
      <c r="AO18" s="2"/>
      <c r="AP18" s="2"/>
      <c r="AQ18"/>
      <c r="AR18"/>
      <c r="AS18" s="4"/>
    </row>
    <row r="19" spans="2:45" ht="24.95" customHeight="1" thickBot="1" x14ac:dyDescent="0.25">
      <c r="B19" s="63" t="s">
        <v>92</v>
      </c>
      <c r="D19" s="51"/>
      <c r="F19" s="918" t="s">
        <v>117</v>
      </c>
      <c r="G19" s="919"/>
      <c r="H19" s="919"/>
      <c r="I19" s="919"/>
      <c r="J19" s="919"/>
      <c r="K19" s="919"/>
      <c r="L19" s="919"/>
      <c r="M19" s="920"/>
      <c r="O19"/>
      <c r="P19"/>
      <c r="Q19"/>
      <c r="R19"/>
      <c r="S19"/>
      <c r="T19"/>
      <c r="U19"/>
      <c r="V19"/>
      <c r="W19"/>
      <c r="X19"/>
      <c r="Y19"/>
      <c r="Z19"/>
      <c r="AA19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/>
      <c r="AS19" s="4"/>
    </row>
    <row r="20" spans="2:45" ht="15" customHeight="1" thickBot="1" x14ac:dyDescent="0.25">
      <c r="B20" s="64" t="s">
        <v>87</v>
      </c>
      <c r="C20" s="50">
        <f>C18*0.718</f>
        <v>78.97999999999999</v>
      </c>
      <c r="D20" s="55" t="s">
        <v>65</v>
      </c>
      <c r="F20" s="33"/>
      <c r="H20" s="71" t="s">
        <v>3</v>
      </c>
      <c r="I20" s="224" t="s">
        <v>99</v>
      </c>
      <c r="M20" s="34"/>
      <c r="O20"/>
      <c r="P20"/>
      <c r="Q20"/>
      <c r="R20" s="2"/>
      <c r="S20" s="2"/>
      <c r="T20"/>
      <c r="U20"/>
      <c r="V20"/>
      <c r="W20"/>
      <c r="X20" s="2"/>
      <c r="Y20" s="2"/>
      <c r="Z20"/>
      <c r="AA20"/>
      <c r="AE20"/>
      <c r="AF20"/>
      <c r="AK20"/>
      <c r="AL20"/>
      <c r="AQ20" s="2"/>
      <c r="AR20"/>
      <c r="AS20" s="4"/>
    </row>
    <row r="21" spans="2:45" ht="15" customHeight="1" thickBot="1" x14ac:dyDescent="0.25">
      <c r="B21" s="62"/>
      <c r="D21" s="51"/>
      <c r="F21" s="33"/>
      <c r="H21" s="72" t="s">
        <v>100</v>
      </c>
      <c r="I21" s="225" t="s">
        <v>101</v>
      </c>
      <c r="M21" s="34"/>
      <c r="O21"/>
      <c r="P21"/>
      <c r="Q21"/>
      <c r="R21" s="45"/>
      <c r="S21" s="45"/>
      <c r="T21"/>
      <c r="U21"/>
      <c r="V21"/>
      <c r="W21"/>
      <c r="X21" s="45"/>
      <c r="Y21" s="45"/>
      <c r="Z21"/>
      <c r="AA21"/>
      <c r="AE21"/>
      <c r="AF21"/>
      <c r="AK21"/>
      <c r="AL21"/>
      <c r="AQ21" s="2"/>
    </row>
    <row r="22" spans="2:45" ht="15" customHeight="1" thickBot="1" x14ac:dyDescent="0.25">
      <c r="B22" s="64" t="s">
        <v>93</v>
      </c>
      <c r="C22" s="88">
        <f>C5+SUM(C7:C11)+C20</f>
        <v>884.98</v>
      </c>
      <c r="D22" s="55" t="s">
        <v>65</v>
      </c>
      <c r="F22" s="33"/>
      <c r="H22" s="73" t="s">
        <v>102</v>
      </c>
      <c r="I22" s="226" t="s">
        <v>103</v>
      </c>
      <c r="M22" s="34"/>
      <c r="O22" s="16" t="s">
        <v>19</v>
      </c>
      <c r="P22"/>
      <c r="Q22"/>
      <c r="R22"/>
      <c r="S22"/>
      <c r="T22"/>
      <c r="U22"/>
      <c r="V22"/>
      <c r="W22"/>
      <c r="X22" t="s">
        <v>4</v>
      </c>
      <c r="Y22"/>
      <c r="Z22"/>
      <c r="AA22"/>
      <c r="AE22"/>
      <c r="AF22"/>
      <c r="AG22"/>
      <c r="AH22"/>
      <c r="AI22"/>
      <c r="AJ22"/>
      <c r="AK22"/>
      <c r="AL22"/>
      <c r="AM22"/>
      <c r="AN22"/>
      <c r="AO22"/>
      <c r="AP22"/>
      <c r="AQ22" s="2"/>
    </row>
    <row r="23" spans="2:45" ht="24.95" customHeight="1" thickBot="1" x14ac:dyDescent="0.25">
      <c r="B23" s="33"/>
      <c r="C23" s="60" t="str">
        <f>IF(C22&gt;900,"max 900 Kg","")</f>
        <v/>
      </c>
      <c r="D23" s="34"/>
      <c r="F23" s="912" t="s">
        <v>104</v>
      </c>
      <c r="G23" s="913"/>
      <c r="H23" s="81">
        <f>P93</f>
        <v>184.61863136079677</v>
      </c>
      <c r="I23" s="82">
        <f>V93</f>
        <v>425.86198707900002</v>
      </c>
      <c r="J23" s="69" t="s">
        <v>48</v>
      </c>
      <c r="M23" s="34"/>
      <c r="O23"/>
      <c r="P23" s="947" t="s">
        <v>10</v>
      </c>
      <c r="Q23" s="961"/>
      <c r="R23" s="961"/>
      <c r="S23" s="962" t="s">
        <v>11</v>
      </c>
      <c r="T23" s="963"/>
      <c r="U23" s="963"/>
      <c r="V23" s="957" t="s">
        <v>10</v>
      </c>
      <c r="W23" s="958"/>
      <c r="X23" s="958"/>
      <c r="Y23" s="964" t="s">
        <v>11</v>
      </c>
      <c r="Z23" s="964"/>
      <c r="AA23" s="965"/>
      <c r="AN23" s="2"/>
      <c r="AO23" s="2"/>
      <c r="AP23" s="2"/>
      <c r="AQ23" s="2"/>
    </row>
    <row r="24" spans="2:45" ht="15" customHeight="1" thickBot="1" x14ac:dyDescent="0.25">
      <c r="B24" s="61" t="s">
        <v>287</v>
      </c>
      <c r="C24" s="629">
        <f>AU10</f>
        <v>0.52786224387639324</v>
      </c>
      <c r="D24" s="630" t="s">
        <v>170</v>
      </c>
      <c r="F24" s="33"/>
      <c r="M24" s="34"/>
      <c r="O24"/>
      <c r="P24" s="429" t="s">
        <v>189</v>
      </c>
      <c r="Q24" s="430" t="s">
        <v>14</v>
      </c>
      <c r="R24" s="431" t="s">
        <v>190</v>
      </c>
      <c r="S24" s="432" t="s">
        <v>189</v>
      </c>
      <c r="T24" s="432" t="s">
        <v>14</v>
      </c>
      <c r="U24" s="443" t="s">
        <v>190</v>
      </c>
      <c r="V24" s="132" t="s">
        <v>189</v>
      </c>
      <c r="W24" s="115" t="s">
        <v>14</v>
      </c>
      <c r="X24" s="134" t="s">
        <v>190</v>
      </c>
      <c r="Y24" s="439" t="s">
        <v>189</v>
      </c>
      <c r="Z24" s="439" t="s">
        <v>14</v>
      </c>
      <c r="AA24" s="440" t="s">
        <v>190</v>
      </c>
      <c r="AN24" s="2"/>
      <c r="AO24" s="2"/>
      <c r="AP24" s="2"/>
      <c r="AQ24" s="2"/>
    </row>
    <row r="25" spans="2:45" ht="24.95" customHeight="1" thickBot="1" x14ac:dyDescent="0.25">
      <c r="B25" s="688"/>
      <c r="C25" s="687" t="str">
        <f>AU14</f>
        <v>Centrage Correct</v>
      </c>
      <c r="D25" s="689"/>
      <c r="F25" s="910" t="s">
        <v>105</v>
      </c>
      <c r="G25" s="911"/>
      <c r="H25" s="81">
        <f>S93</f>
        <v>283.59473981870326</v>
      </c>
      <c r="I25" s="82">
        <f>Y93</f>
        <v>518.24677362109355</v>
      </c>
      <c r="J25" s="69" t="s">
        <v>48</v>
      </c>
      <c r="M25" s="34"/>
      <c r="O25" s="8" t="s">
        <v>1</v>
      </c>
      <c r="P25" s="212" t="s">
        <v>5</v>
      </c>
      <c r="Q25" s="17" t="s">
        <v>5</v>
      </c>
      <c r="R25" s="17" t="s">
        <v>5</v>
      </c>
      <c r="S25" s="329" t="s">
        <v>5</v>
      </c>
      <c r="T25" s="329" t="s">
        <v>5</v>
      </c>
      <c r="U25" s="444" t="s">
        <v>5</v>
      </c>
      <c r="V25" s="212" t="s">
        <v>12</v>
      </c>
      <c r="W25" s="17" t="s">
        <v>12</v>
      </c>
      <c r="X25" s="17" t="s">
        <v>12</v>
      </c>
      <c r="Y25" s="329" t="s">
        <v>12</v>
      </c>
      <c r="Z25" s="329" t="s">
        <v>12</v>
      </c>
      <c r="AA25" s="435" t="s">
        <v>12</v>
      </c>
      <c r="AF25" s="1" t="s">
        <v>40</v>
      </c>
      <c r="AI25" s="1" t="s">
        <v>41</v>
      </c>
      <c r="AL25" s="1" t="s">
        <v>185</v>
      </c>
      <c r="AM25"/>
      <c r="AN25" s="4"/>
      <c r="AO25" s="4" t="s">
        <v>186</v>
      </c>
      <c r="AP25" s="4"/>
      <c r="AQ25" s="2"/>
    </row>
    <row r="26" spans="2:45" ht="15" customHeight="1" thickTop="1" thickBot="1" x14ac:dyDescent="0.25">
      <c r="F26" s="52"/>
      <c r="G26" s="53"/>
      <c r="H26" s="53"/>
      <c r="I26" s="53"/>
      <c r="J26" s="53"/>
      <c r="K26" s="53"/>
      <c r="L26" s="53"/>
      <c r="M26" s="54"/>
      <c r="O26" s="1">
        <v>0</v>
      </c>
      <c r="P26" s="441">
        <v>130</v>
      </c>
      <c r="Q26" s="26">
        <v>145</v>
      </c>
      <c r="R26" s="26">
        <v>165</v>
      </c>
      <c r="S26" s="445">
        <v>165</v>
      </c>
      <c r="T26" s="428">
        <v>185</v>
      </c>
      <c r="U26" s="446">
        <v>215</v>
      </c>
      <c r="V26" s="441">
        <v>285</v>
      </c>
      <c r="W26" s="11">
        <v>315</v>
      </c>
      <c r="X26" s="2">
        <v>345</v>
      </c>
      <c r="Y26" s="368">
        <v>320</v>
      </c>
      <c r="Z26" s="332">
        <v>355</v>
      </c>
      <c r="AA26" s="448">
        <v>395</v>
      </c>
      <c r="AC26" s="2"/>
      <c r="AD26" s="2"/>
      <c r="AE26" s="406" t="s">
        <v>27</v>
      </c>
      <c r="AF26" s="254">
        <v>130</v>
      </c>
      <c r="AG26" s="238">
        <v>1.125E-2</v>
      </c>
      <c r="AH26" s="2"/>
      <c r="AI26" s="412">
        <v>165</v>
      </c>
      <c r="AJ26" s="413">
        <v>1.6250000000000001E-2</v>
      </c>
      <c r="AL26" s="423">
        <v>285</v>
      </c>
      <c r="AM26" s="238">
        <v>2.2499999999999999E-2</v>
      </c>
      <c r="AN26"/>
      <c r="AO26" s="412">
        <v>320</v>
      </c>
      <c r="AP26" s="413">
        <v>2.75E-2</v>
      </c>
      <c r="AQ26" s="2"/>
    </row>
    <row r="27" spans="2:45" ht="15" customHeight="1" thickTop="1" x14ac:dyDescent="0.2">
      <c r="O27" s="27">
        <v>4000</v>
      </c>
      <c r="P27" s="390">
        <v>175</v>
      </c>
      <c r="Q27" s="26">
        <v>195</v>
      </c>
      <c r="R27" s="26">
        <v>220</v>
      </c>
      <c r="S27" s="446">
        <v>230</v>
      </c>
      <c r="T27" s="330">
        <v>265</v>
      </c>
      <c r="U27" s="446">
        <v>300</v>
      </c>
      <c r="V27" s="390">
        <v>375</v>
      </c>
      <c r="W27" s="450">
        <v>415</v>
      </c>
      <c r="X27" s="2">
        <v>460</v>
      </c>
      <c r="Y27" s="330">
        <v>430</v>
      </c>
      <c r="Z27" s="332">
        <v>485</v>
      </c>
      <c r="AA27" s="448">
        <v>540</v>
      </c>
      <c r="AC27" s="839" t="s">
        <v>187</v>
      </c>
      <c r="AD27" s="956"/>
      <c r="AE27" s="407" t="s">
        <v>14</v>
      </c>
      <c r="AF27" s="252">
        <v>145</v>
      </c>
      <c r="AG27" s="408">
        <v>1.2500000000000001E-2</v>
      </c>
      <c r="AI27" s="414">
        <v>185</v>
      </c>
      <c r="AJ27" s="415">
        <v>0.02</v>
      </c>
      <c r="AL27" s="424">
        <v>315</v>
      </c>
      <c r="AM27" s="408">
        <v>2.5000000000000001E-2</v>
      </c>
      <c r="AN27"/>
      <c r="AO27" s="414">
        <v>355</v>
      </c>
      <c r="AP27" s="415">
        <v>3.2500000000000001E-2</v>
      </c>
      <c r="AQ27" s="2"/>
    </row>
    <row r="28" spans="2:45" ht="15" customHeight="1" thickBot="1" x14ac:dyDescent="0.25">
      <c r="H28"/>
      <c r="O28" s="27">
        <v>8000</v>
      </c>
      <c r="P28" s="391">
        <v>235</v>
      </c>
      <c r="Q28" s="442">
        <v>265</v>
      </c>
      <c r="R28" s="442">
        <v>300</v>
      </c>
      <c r="S28" s="447">
        <v>330</v>
      </c>
      <c r="T28" s="352">
        <v>380</v>
      </c>
      <c r="U28" s="447">
        <v>440</v>
      </c>
      <c r="V28" s="391">
        <v>500</v>
      </c>
      <c r="W28" s="451">
        <v>560</v>
      </c>
      <c r="X28" s="327">
        <v>620</v>
      </c>
      <c r="Y28" s="352">
        <v>595</v>
      </c>
      <c r="Z28" s="351">
        <v>675</v>
      </c>
      <c r="AA28" s="449">
        <v>760</v>
      </c>
      <c r="AE28" s="409" t="s">
        <v>28</v>
      </c>
      <c r="AF28" s="410">
        <v>165</v>
      </c>
      <c r="AG28" s="411">
        <v>1.375E-2</v>
      </c>
      <c r="AI28" s="416">
        <v>215</v>
      </c>
      <c r="AJ28" s="417">
        <v>2.1250000000000002E-2</v>
      </c>
      <c r="AL28" s="425">
        <v>345</v>
      </c>
      <c r="AM28" s="411">
        <v>2.8750000000000001E-2</v>
      </c>
      <c r="AN28"/>
      <c r="AO28" s="426">
        <v>395</v>
      </c>
      <c r="AP28" s="427">
        <v>3.6249999999999998E-2</v>
      </c>
    </row>
    <row r="29" spans="2:45" ht="15" customHeight="1" x14ac:dyDescent="0.2">
      <c r="H29" s="228"/>
      <c r="P29"/>
      <c r="Q29"/>
      <c r="R29"/>
      <c r="S29"/>
      <c r="T29"/>
      <c r="U29"/>
      <c r="V29"/>
      <c r="W29"/>
      <c r="X29"/>
      <c r="Y29"/>
      <c r="Z29"/>
      <c r="AA29"/>
      <c r="AL29" s="16"/>
      <c r="AM29" s="21"/>
      <c r="AN29"/>
      <c r="AO29"/>
      <c r="AP29"/>
      <c r="AQ29" s="163"/>
    </row>
    <row r="30" spans="2:45" ht="15" customHeight="1" thickBot="1" x14ac:dyDescent="0.25">
      <c r="H30" s="228"/>
      <c r="I30" s="99"/>
      <c r="O30" s="2" t="s">
        <v>42</v>
      </c>
      <c r="P30" s="17">
        <f>AF26+AG26*$K$9</f>
        <v>134.79249999999999</v>
      </c>
      <c r="Q30" s="17">
        <f>AF27+AG27*$K$9</f>
        <v>150.32499999999999</v>
      </c>
      <c r="R30" s="17">
        <f>AF28+AG28*$K$9</f>
        <v>170.85749999999999</v>
      </c>
      <c r="S30" s="329">
        <f>AI26+AJ26*$K$9</f>
        <v>171.92250000000001</v>
      </c>
      <c r="T30" s="329">
        <f>AI27+AJ27*$K$9</f>
        <v>193.52</v>
      </c>
      <c r="U30" s="329">
        <f>AI28+AJ28*$K$9</f>
        <v>224.05250000000001</v>
      </c>
      <c r="V30" s="17">
        <f>AL26+AM26*$K$9</f>
        <v>294.58499999999998</v>
      </c>
      <c r="W30" s="17">
        <f>AL27+AM27*$K$9</f>
        <v>325.64999999999998</v>
      </c>
      <c r="X30" s="17">
        <f>AL28+AM28*$K$9</f>
        <v>357.2475</v>
      </c>
      <c r="Y30" s="329">
        <f>AO26+AP26*$K$9</f>
        <v>331.71499999999997</v>
      </c>
      <c r="Z30" s="329">
        <f>AO27+AP27*$K$9</f>
        <v>368.84500000000003</v>
      </c>
      <c r="AA30" s="329">
        <f>AO28+AP28*$K$9</f>
        <v>410.4425</v>
      </c>
      <c r="AC30" s="237"/>
      <c r="AD30" s="237"/>
      <c r="AE30" s="405"/>
      <c r="AF30" s="237" t="s">
        <v>40</v>
      </c>
      <c r="AG30" s="237"/>
      <c r="AH30" s="237"/>
      <c r="AI30" s="237" t="s">
        <v>41</v>
      </c>
      <c r="AJ30" s="237"/>
      <c r="AK30" s="237"/>
      <c r="AL30" s="237" t="s">
        <v>186</v>
      </c>
      <c r="AM30" s="237"/>
      <c r="AN30" s="237"/>
      <c r="AO30" t="s">
        <v>186</v>
      </c>
      <c r="AP30"/>
      <c r="AQ30" s="5"/>
    </row>
    <row r="31" spans="2:45" ht="15" customHeight="1" x14ac:dyDescent="0.2">
      <c r="H31" s="228"/>
      <c r="I31" s="1" t="s">
        <v>4</v>
      </c>
      <c r="P31"/>
      <c r="Q31"/>
      <c r="R31"/>
      <c r="S31"/>
      <c r="T31"/>
      <c r="U31"/>
      <c r="V31"/>
      <c r="W31"/>
      <c r="X31"/>
      <c r="Y31"/>
      <c r="Z31"/>
      <c r="AA31"/>
      <c r="AE31" s="418" t="s">
        <v>27</v>
      </c>
      <c r="AF31" s="254">
        <v>115</v>
      </c>
      <c r="AG31" s="238">
        <v>1.4999999999999999E-2</v>
      </c>
      <c r="AI31" s="412">
        <v>130</v>
      </c>
      <c r="AJ31" s="413">
        <v>2.5000000000000001E-2</v>
      </c>
      <c r="AL31" s="423">
        <v>250</v>
      </c>
      <c r="AM31" s="238">
        <v>3.125E-2</v>
      </c>
      <c r="AN31"/>
      <c r="AO31" s="412">
        <v>265</v>
      </c>
      <c r="AP31" s="413">
        <v>4.1250000000000002E-2</v>
      </c>
      <c r="AQ31"/>
    </row>
    <row r="32" spans="2:45" ht="15" customHeight="1" x14ac:dyDescent="0.2">
      <c r="O32" s="2" t="s">
        <v>43</v>
      </c>
      <c r="P32" s="9">
        <f>AF31+AG31*$K$9</f>
        <v>121.39</v>
      </c>
      <c r="Q32" s="9">
        <f>AF32+AG32*$K$9</f>
        <v>132.45500000000001</v>
      </c>
      <c r="R32" s="9">
        <f>AF33+AG33*$K$9</f>
        <v>148.52000000000001</v>
      </c>
      <c r="S32" s="325">
        <f>AI31+AJ31*$K$9</f>
        <v>140.65</v>
      </c>
      <c r="T32" s="325">
        <f>AI32+AJ32*$K$9</f>
        <v>162.2475</v>
      </c>
      <c r="U32" s="325">
        <f>AI33+AJ33*$K$9</f>
        <v>174.91</v>
      </c>
      <c r="V32" s="9">
        <f>AL31+AM31*$K$9</f>
        <v>263.3125</v>
      </c>
      <c r="W32" s="9">
        <f>AL32+AM32*$K$9</f>
        <v>285.4425</v>
      </c>
      <c r="X32" s="9">
        <f>AL33+AM33*$K$9</f>
        <v>317.04000000000002</v>
      </c>
      <c r="Y32" s="325">
        <f>AO31+AP31*$K$9</f>
        <v>282.57249999999999</v>
      </c>
      <c r="Z32" s="325">
        <f>AO32+AP32*$K$9</f>
        <v>315.23500000000001</v>
      </c>
      <c r="AA32" s="325">
        <f>AO33+AP33*$K$9</f>
        <v>343.43</v>
      </c>
      <c r="AC32" s="955" t="s">
        <v>188</v>
      </c>
      <c r="AD32" s="955"/>
      <c r="AE32" s="419" t="s">
        <v>14</v>
      </c>
      <c r="AF32" s="252">
        <v>125</v>
      </c>
      <c r="AG32" s="408">
        <v>1.7500000000000002E-2</v>
      </c>
      <c r="AI32" s="414">
        <v>150</v>
      </c>
      <c r="AJ32" s="415">
        <v>2.8750000000000001E-2</v>
      </c>
      <c r="AL32" s="424">
        <v>270</v>
      </c>
      <c r="AM32" s="408">
        <v>3.6249999999999998E-2</v>
      </c>
      <c r="AN32"/>
      <c r="AO32" s="414">
        <v>295</v>
      </c>
      <c r="AP32" s="415">
        <v>4.7500000000000001E-2</v>
      </c>
      <c r="AQ32" s="2"/>
    </row>
    <row r="33" spans="15:45" ht="15" customHeight="1" thickBot="1" x14ac:dyDescent="0.25">
      <c r="P33"/>
      <c r="Q33"/>
      <c r="R33"/>
      <c r="S33"/>
      <c r="T33"/>
      <c r="U33"/>
      <c r="V33"/>
      <c r="W33"/>
      <c r="X33"/>
      <c r="Y33"/>
      <c r="Z33"/>
      <c r="AA33"/>
      <c r="AC33" s="237"/>
      <c r="AD33" s="237"/>
      <c r="AE33" s="420" t="s">
        <v>28</v>
      </c>
      <c r="AF33" s="410">
        <v>140</v>
      </c>
      <c r="AG33" s="411">
        <v>0.02</v>
      </c>
      <c r="AI33" s="397">
        <v>160</v>
      </c>
      <c r="AJ33" s="422">
        <v>3.5000000000000003E-2</v>
      </c>
      <c r="AL33" s="425">
        <v>300</v>
      </c>
      <c r="AM33" s="411">
        <v>0.04</v>
      </c>
      <c r="AN33"/>
      <c r="AO33" s="421">
        <v>320</v>
      </c>
      <c r="AP33" s="422">
        <v>5.5E-2</v>
      </c>
      <c r="AQ33" s="2"/>
    </row>
    <row r="34" spans="15:45" ht="15" customHeight="1" thickBot="1" x14ac:dyDescent="0.25">
      <c r="O34" s="2" t="s">
        <v>23</v>
      </c>
      <c r="P34" s="399">
        <f>IF($K$9&gt;=4000,P32,P30)</f>
        <v>134.79249999999999</v>
      </c>
      <c r="Q34" s="308">
        <f t="shared" ref="Q34:AA34" si="1">IF($K$9&gt;=4000,Q32,Q30)</f>
        <v>150.32499999999999</v>
      </c>
      <c r="R34" s="308">
        <f t="shared" si="1"/>
        <v>170.85749999999999</v>
      </c>
      <c r="S34" s="301">
        <f t="shared" si="1"/>
        <v>171.92250000000001</v>
      </c>
      <c r="T34" s="301">
        <f t="shared" si="1"/>
        <v>193.52</v>
      </c>
      <c r="U34" s="452">
        <f t="shared" si="1"/>
        <v>224.05250000000001</v>
      </c>
      <c r="V34" s="399">
        <f t="shared" si="1"/>
        <v>294.58499999999998</v>
      </c>
      <c r="W34" s="308">
        <f t="shared" si="1"/>
        <v>325.64999999999998</v>
      </c>
      <c r="X34" s="308">
        <f t="shared" si="1"/>
        <v>357.2475</v>
      </c>
      <c r="Y34" s="301">
        <f t="shared" si="1"/>
        <v>331.71499999999997</v>
      </c>
      <c r="Z34" s="301">
        <f t="shared" si="1"/>
        <v>368.84500000000003</v>
      </c>
      <c r="AA34" s="400">
        <f t="shared" si="1"/>
        <v>410.4425</v>
      </c>
      <c r="AN34" s="2"/>
      <c r="AO34" s="2"/>
      <c r="AP34" s="2"/>
      <c r="AQ34" s="2"/>
    </row>
    <row r="35" spans="15:45" ht="15" customHeight="1" x14ac:dyDescent="0.2">
      <c r="O35" s="2"/>
      <c r="P35"/>
      <c r="Q35"/>
      <c r="R35"/>
      <c r="S35"/>
      <c r="T35"/>
      <c r="U35"/>
      <c r="V35"/>
      <c r="W35"/>
      <c r="X35"/>
      <c r="Y35"/>
      <c r="Z35"/>
      <c r="AA35"/>
    </row>
    <row r="36" spans="15:45" ht="15" customHeight="1" x14ac:dyDescent="0.2">
      <c r="P36"/>
      <c r="Q36"/>
      <c r="R36"/>
      <c r="S36"/>
      <c r="T36"/>
      <c r="U36"/>
      <c r="V36"/>
      <c r="W36"/>
      <c r="X36"/>
      <c r="Y36"/>
      <c r="Z36"/>
      <c r="AA36"/>
      <c r="AB36" s="1" t="s">
        <v>4</v>
      </c>
      <c r="AN36" s="163"/>
      <c r="AO36" s="163"/>
      <c r="AP36" s="163"/>
      <c r="AQ36" s="163"/>
    </row>
    <row r="37" spans="15:45" ht="15" customHeight="1" thickBot="1" x14ac:dyDescent="0.25">
      <c r="O37" s="2"/>
      <c r="P37" s="892" t="s">
        <v>45</v>
      </c>
      <c r="Q37" s="892"/>
      <c r="R37" s="5" t="s">
        <v>5</v>
      </c>
      <c r="S37" s="5" t="s">
        <v>6</v>
      </c>
      <c r="T37"/>
      <c r="U37"/>
      <c r="V37" s="892" t="s">
        <v>44</v>
      </c>
      <c r="W37" s="892"/>
      <c r="X37" s="5" t="s">
        <v>5</v>
      </c>
      <c r="Y37" s="5" t="s">
        <v>6</v>
      </c>
      <c r="Z37"/>
      <c r="AA37"/>
      <c r="AC37" s="1" t="s">
        <v>4</v>
      </c>
      <c r="AN37" s="5"/>
      <c r="AO37" s="5"/>
      <c r="AP37" s="5"/>
      <c r="AQ37" s="5"/>
    </row>
    <row r="38" spans="15:45" ht="15" customHeight="1" thickBot="1" x14ac:dyDescent="0.25">
      <c r="O38"/>
      <c r="P38" s="839" t="s">
        <v>29</v>
      </c>
      <c r="Q38" s="839"/>
      <c r="R38" s="403">
        <f>IF(S15&gt;=P15,Q34+((R34-Q34)/20)*(S15-P15),Q34-((Q34-P34)/20)*(P15-S15))</f>
        <v>168.6523095</v>
      </c>
      <c r="S38" s="453">
        <f>IF(S15&gt;=P15,W34+((X34-W34)/20)*(S15-P15),W34-((W34-V34)/20)*(P15-S15))</f>
        <v>353.85392849999999</v>
      </c>
      <c r="T38"/>
      <c r="U38" t="s">
        <v>4</v>
      </c>
      <c r="V38" s="839" t="s">
        <v>29</v>
      </c>
      <c r="W38" s="839"/>
      <c r="X38" s="455">
        <f>IF(S15&gt;=P15,T34+((U34-T34)/20)*(S15-P15),T34-((T34-S34)/20)*(P15-S15))</f>
        <v>220.77330950000001</v>
      </c>
      <c r="Y38" s="456">
        <f>IF(S15&gt;=P15,Z34+((AA34-Z34)/20)*(S15-P15),Z34-((Z34-Y34)/20)*(P15-S15))</f>
        <v>405.97492850000003</v>
      </c>
      <c r="Z38"/>
      <c r="AA38"/>
      <c r="AN38"/>
      <c r="AO38"/>
      <c r="AP38"/>
      <c r="AQ38"/>
    </row>
    <row r="39" spans="15:45" ht="15" customHeight="1" x14ac:dyDescent="0.2">
      <c r="O39"/>
      <c r="P39"/>
      <c r="Q39"/>
      <c r="R39"/>
      <c r="S39"/>
      <c r="T39"/>
      <c r="U39"/>
      <c r="V39"/>
      <c r="W39"/>
      <c r="X39"/>
      <c r="Y39"/>
      <c r="Z39"/>
      <c r="AA39" t="s">
        <v>4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5:45" ht="15" customHeight="1" thickBot="1" x14ac:dyDescent="0.25">
      <c r="O40"/>
      <c r="P40"/>
      <c r="Q40"/>
      <c r="R40" s="5" t="s">
        <v>5</v>
      </c>
      <c r="S40" s="5" t="s">
        <v>6</v>
      </c>
      <c r="T40"/>
      <c r="U40"/>
      <c r="V40" t="s">
        <v>4</v>
      </c>
      <c r="W40"/>
      <c r="X40" s="5" t="s">
        <v>5</v>
      </c>
      <c r="Y40" s="5" t="s">
        <v>6</v>
      </c>
      <c r="Z40"/>
      <c r="AA40" t="s">
        <v>4</v>
      </c>
      <c r="AE40" s="4"/>
      <c r="AF40" s="4"/>
      <c r="AG40" s="4"/>
      <c r="AH40" s="4"/>
      <c r="AI40" s="2"/>
      <c r="AJ40" s="2"/>
      <c r="AK40" s="4"/>
      <c r="AL40" s="4"/>
      <c r="AM40" s="4"/>
      <c r="AN40" s="4"/>
      <c r="AO40" s="2"/>
      <c r="AP40" s="2"/>
    </row>
    <row r="41" spans="15:45" ht="15" customHeight="1" thickBot="1" x14ac:dyDescent="0.25">
      <c r="O41"/>
      <c r="P41" s="890" t="s">
        <v>25</v>
      </c>
      <c r="Q41" s="891"/>
      <c r="R41" s="47">
        <f>R38+((R18-R38)/200)*(H8-700)</f>
        <v>283.46626841310001</v>
      </c>
      <c r="S41" s="47">
        <f>S38+((S18-S38)/200)*(H8-700)</f>
        <v>587.2229567631</v>
      </c>
      <c r="T41"/>
      <c r="U41"/>
      <c r="V41" s="890" t="s">
        <v>25</v>
      </c>
      <c r="W41" s="891"/>
      <c r="X41" s="365">
        <f>X38+((X18-X38)/200)*(H8-700)</f>
        <v>410.64497333930001</v>
      </c>
      <c r="Y41" s="365">
        <f>Y38+((Y18-Y38)/200*(H8-700))</f>
        <v>714.4016616893</v>
      </c>
      <c r="Z41"/>
      <c r="AA41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5"/>
      <c r="AR41" s="5"/>
      <c r="AS41" s="5"/>
    </row>
    <row r="42" spans="15:45" ht="15" customHeight="1" x14ac:dyDescent="0.2">
      <c r="P42"/>
      <c r="Q42"/>
      <c r="R42"/>
      <c r="S42"/>
      <c r="T42"/>
      <c r="U42"/>
      <c r="V42"/>
      <c r="W42"/>
      <c r="X42"/>
      <c r="Y42"/>
      <c r="Z42"/>
      <c r="AA42"/>
      <c r="AE42" s="4"/>
      <c r="AF42" s="4"/>
      <c r="AG42" s="2"/>
      <c r="AH42" s="2"/>
      <c r="AI42" s="2"/>
      <c r="AJ42" s="2"/>
      <c r="AK42" s="4"/>
      <c r="AL42" s="4"/>
      <c r="AM42" s="2"/>
      <c r="AN42" s="2"/>
      <c r="AO42" s="2"/>
      <c r="AP42" s="2"/>
    </row>
    <row r="43" spans="15:45" ht="15" customHeight="1" thickBot="1" x14ac:dyDescent="0.25">
      <c r="P43"/>
      <c r="Q43"/>
      <c r="R43" s="5"/>
      <c r="S43"/>
      <c r="T43"/>
      <c r="U43" s="5" t="s">
        <v>5</v>
      </c>
      <c r="V43" s="5" t="s">
        <v>6</v>
      </c>
      <c r="W43"/>
      <c r="X43" s="5"/>
      <c r="Y43" s="5"/>
      <c r="Z43"/>
      <c r="AA43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R43" s="268"/>
    </row>
    <row r="44" spans="15:45" ht="15" customHeight="1" thickBot="1" x14ac:dyDescent="0.25">
      <c r="P44"/>
      <c r="Q44"/>
      <c r="R44" s="46"/>
      <c r="S44" s="890" t="s">
        <v>46</v>
      </c>
      <c r="T44" s="891"/>
      <c r="U44" s="47">
        <f>IF(H12="D",R41,X41)</f>
        <v>410.64497333930001</v>
      </c>
      <c r="V44" s="47">
        <f>IF(H12="D",S41,Y41)</f>
        <v>714.4016616893</v>
      </c>
      <c r="W44"/>
      <c r="X44" s="46"/>
      <c r="Y44" s="46"/>
      <c r="Z44"/>
      <c r="AA44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R44" s="43"/>
    </row>
    <row r="45" spans="15:45" ht="15" customHeight="1" x14ac:dyDescent="0.2">
      <c r="P45"/>
      <c r="Q45"/>
      <c r="R45"/>
      <c r="S45"/>
      <c r="T45"/>
      <c r="U45"/>
      <c r="V45"/>
      <c r="W45"/>
      <c r="X45"/>
      <c r="Y45"/>
      <c r="Z45"/>
      <c r="AA45"/>
      <c r="AN45" s="5"/>
      <c r="AP45" s="43"/>
      <c r="AR45" s="268"/>
    </row>
    <row r="46" spans="15:45" ht="15" customHeight="1" thickBot="1" x14ac:dyDescent="0.25">
      <c r="O46" s="1" t="s">
        <v>4</v>
      </c>
      <c r="P46" t="s">
        <v>4</v>
      </c>
      <c r="Q46"/>
      <c r="R46"/>
      <c r="S46"/>
      <c r="T46"/>
      <c r="U46" s="5" t="s">
        <v>5</v>
      </c>
      <c r="V46" s="5" t="s">
        <v>6</v>
      </c>
      <c r="W46"/>
      <c r="X46"/>
      <c r="Y46"/>
      <c r="Z46"/>
      <c r="AA46"/>
      <c r="AM46" s="1" t="s">
        <v>4</v>
      </c>
    </row>
    <row r="47" spans="15:45" ht="15" customHeight="1" thickBot="1" x14ac:dyDescent="0.25">
      <c r="O47"/>
      <c r="P47"/>
      <c r="Q47" s="492">
        <f>H13</f>
        <v>-4.3301270189221945</v>
      </c>
      <c r="R47" s="494">
        <f>-INT(H13)</f>
        <v>5</v>
      </c>
      <c r="S47" s="890" t="s">
        <v>26</v>
      </c>
      <c r="T47" s="891"/>
      <c r="U47" s="457">
        <f>IF(H13&gt;=-10,(1-0.023*R47)*U44,IF(H13&gt;=-20,(0.92-0.015*R47)*U44,(0.84-0.011*R47)*U44))</f>
        <v>363.42080140528049</v>
      </c>
      <c r="V47" s="458">
        <f>IF(H13&gt;=-10,(1-0.023*R47)*V44,IF(H13&gt;=-20,(0.92-0.015*R47)*V44,(0.84-0.011*R47)*V44))</f>
        <v>632.2454705950305</v>
      </c>
      <c r="W47"/>
      <c r="X47"/>
      <c r="Y47"/>
      <c r="Z47"/>
      <c r="AA47"/>
      <c r="AN47" s="5"/>
      <c r="AO47" s="5"/>
      <c r="AP47" s="5"/>
      <c r="AQ47" s="5"/>
    </row>
    <row r="48" spans="15:45" ht="15" customHeight="1" x14ac:dyDescent="0.2">
      <c r="O48"/>
      <c r="P48"/>
      <c r="Q48"/>
      <c r="R48"/>
      <c r="S48"/>
      <c r="T48"/>
      <c r="U48"/>
      <c r="V48"/>
      <c r="W48"/>
      <c r="X48"/>
      <c r="Y48"/>
      <c r="Z48"/>
      <c r="AA48"/>
      <c r="AN48" s="5"/>
      <c r="AO48" s="5"/>
      <c r="AP48" s="5"/>
      <c r="AQ48" s="5"/>
    </row>
    <row r="49" spans="15:43" ht="15" customHeight="1" x14ac:dyDescent="0.2">
      <c r="O49" s="21" t="s">
        <v>9</v>
      </c>
      <c r="P49"/>
      <c r="Q49"/>
      <c r="R49"/>
      <c r="S49"/>
      <c r="T49"/>
      <c r="U49" s="5"/>
      <c r="V49" s="5"/>
      <c r="W49"/>
      <c r="X49"/>
      <c r="Y49"/>
      <c r="Z49"/>
      <c r="AA49"/>
      <c r="AN49"/>
      <c r="AO49"/>
      <c r="AP49"/>
      <c r="AQ49"/>
    </row>
    <row r="50" spans="15:43" ht="15" customHeight="1" x14ac:dyDescent="0.2">
      <c r="O50"/>
      <c r="P50" s="887" t="s">
        <v>34</v>
      </c>
      <c r="Q50" s="888"/>
      <c r="R50" s="888"/>
      <c r="S50" s="888"/>
      <c r="T50" s="888"/>
      <c r="U50" s="889"/>
      <c r="V50" s="887" t="s">
        <v>35</v>
      </c>
      <c r="W50" s="888"/>
      <c r="X50" s="888"/>
      <c r="Y50" s="888"/>
      <c r="Z50" s="888"/>
      <c r="AA50" s="889"/>
      <c r="AI50" s="1" t="s">
        <v>4</v>
      </c>
    </row>
    <row r="51" spans="15:43" ht="15" customHeight="1" x14ac:dyDescent="0.2">
      <c r="O51"/>
      <c r="P51" s="887" t="s">
        <v>36</v>
      </c>
      <c r="Q51" s="888"/>
      <c r="R51" s="889"/>
      <c r="S51" s="886" t="s">
        <v>37</v>
      </c>
      <c r="T51" s="886"/>
      <c r="U51" s="886"/>
      <c r="V51" s="885" t="s">
        <v>36</v>
      </c>
      <c r="W51" s="885"/>
      <c r="X51" s="885"/>
      <c r="Y51" s="886" t="s">
        <v>37</v>
      </c>
      <c r="Z51" s="886"/>
      <c r="AA51" s="886"/>
    </row>
    <row r="52" spans="15:43" ht="15" customHeight="1" x14ac:dyDescent="0.2">
      <c r="O52"/>
      <c r="P52" s="887" t="s">
        <v>38</v>
      </c>
      <c r="Q52" s="888"/>
      <c r="R52" s="889"/>
      <c r="S52" s="886" t="s">
        <v>39</v>
      </c>
      <c r="T52" s="886"/>
      <c r="U52" s="886"/>
      <c r="V52" s="885" t="s">
        <v>38</v>
      </c>
      <c r="W52" s="885"/>
      <c r="X52" s="885"/>
      <c r="Y52" s="886" t="s">
        <v>39</v>
      </c>
      <c r="Z52" s="886"/>
      <c r="AA52" s="886"/>
      <c r="AN52" s="5"/>
      <c r="AO52" s="5"/>
    </row>
    <row r="53" spans="15:43" ht="15" customHeight="1" thickBot="1" x14ac:dyDescent="0.25">
      <c r="O53" t="s">
        <v>1</v>
      </c>
      <c r="P53" s="23" t="s">
        <v>27</v>
      </c>
      <c r="Q53" s="23" t="s">
        <v>14</v>
      </c>
      <c r="R53" s="23" t="s">
        <v>28</v>
      </c>
      <c r="S53" s="368" t="s">
        <v>27</v>
      </c>
      <c r="T53" s="368" t="s">
        <v>14</v>
      </c>
      <c r="U53" s="368" t="s">
        <v>28</v>
      </c>
      <c r="V53" s="23" t="s">
        <v>27</v>
      </c>
      <c r="W53" s="23" t="s">
        <v>14</v>
      </c>
      <c r="X53" s="23" t="s">
        <v>28</v>
      </c>
      <c r="Y53" s="368" t="s">
        <v>27</v>
      </c>
      <c r="Z53" s="368" t="s">
        <v>14</v>
      </c>
      <c r="AA53" s="454" t="s">
        <v>28</v>
      </c>
      <c r="AG53" s="1" t="s">
        <v>40</v>
      </c>
      <c r="AJ53" s="1" t="s">
        <v>41</v>
      </c>
      <c r="AM53" s="1" t="s">
        <v>185</v>
      </c>
      <c r="AN53"/>
      <c r="AO53" s="4"/>
      <c r="AP53" s="4" t="s">
        <v>186</v>
      </c>
      <c r="AQ53" s="4"/>
    </row>
    <row r="54" spans="15:43" ht="15" customHeight="1" x14ac:dyDescent="0.2">
      <c r="O54" s="36">
        <v>0</v>
      </c>
      <c r="P54" s="38">
        <v>185</v>
      </c>
      <c r="Q54" s="38">
        <v>200</v>
      </c>
      <c r="R54" s="18">
        <v>210</v>
      </c>
      <c r="S54" s="369">
        <v>280</v>
      </c>
      <c r="T54" s="369">
        <v>300</v>
      </c>
      <c r="U54" s="369">
        <v>325</v>
      </c>
      <c r="V54" s="18">
        <v>435</v>
      </c>
      <c r="W54" s="39">
        <v>460</v>
      </c>
      <c r="X54" s="39">
        <v>485</v>
      </c>
      <c r="Y54" s="370">
        <v>530</v>
      </c>
      <c r="Z54" s="370">
        <v>560</v>
      </c>
      <c r="AA54" s="466">
        <v>590</v>
      </c>
      <c r="AC54" s="2"/>
      <c r="AD54" s="2"/>
      <c r="AE54" s="460" t="s">
        <v>27</v>
      </c>
      <c r="AF54" s="237"/>
      <c r="AG54" s="423">
        <v>185</v>
      </c>
      <c r="AH54" s="238">
        <v>5.0000000000000001E-3</v>
      </c>
      <c r="AI54" s="2"/>
      <c r="AJ54" s="412">
        <v>280</v>
      </c>
      <c r="AK54" s="413">
        <v>7.4999999999999997E-3</v>
      </c>
      <c r="AM54" s="423">
        <v>435</v>
      </c>
      <c r="AN54" s="238">
        <v>0.01</v>
      </c>
      <c r="AO54"/>
      <c r="AP54" s="412">
        <v>530</v>
      </c>
      <c r="AQ54" s="413">
        <v>1.2500000000000001E-2</v>
      </c>
    </row>
    <row r="55" spans="15:43" ht="15" customHeight="1" x14ac:dyDescent="0.2">
      <c r="O55" s="37">
        <v>4000</v>
      </c>
      <c r="P55" s="6">
        <v>205</v>
      </c>
      <c r="Q55" s="6">
        <v>225</v>
      </c>
      <c r="R55" s="12">
        <v>240</v>
      </c>
      <c r="S55" s="320">
        <v>310</v>
      </c>
      <c r="T55" s="320">
        <v>335</v>
      </c>
      <c r="U55" s="320">
        <v>360</v>
      </c>
      <c r="V55" s="12">
        <v>475</v>
      </c>
      <c r="W55" s="25">
        <v>505</v>
      </c>
      <c r="X55" s="25">
        <v>535</v>
      </c>
      <c r="Y55" s="371">
        <v>580</v>
      </c>
      <c r="Z55" s="371">
        <v>615</v>
      </c>
      <c r="AA55" s="467">
        <v>655</v>
      </c>
      <c r="AC55" s="839" t="s">
        <v>187</v>
      </c>
      <c r="AD55" s="956"/>
      <c r="AE55" s="461" t="s">
        <v>14</v>
      </c>
      <c r="AF55" s="237"/>
      <c r="AG55" s="424">
        <v>200</v>
      </c>
      <c r="AH55" s="408">
        <v>6.2500000000000003E-3</v>
      </c>
      <c r="AJ55" s="414">
        <v>300</v>
      </c>
      <c r="AK55" s="415">
        <v>8.7500000000000008E-3</v>
      </c>
      <c r="AM55" s="424">
        <v>460</v>
      </c>
      <c r="AN55" s="408">
        <v>1.125E-2</v>
      </c>
      <c r="AO55"/>
      <c r="AP55" s="414">
        <v>560</v>
      </c>
      <c r="AQ55" s="415">
        <v>1.375E-2</v>
      </c>
    </row>
    <row r="56" spans="15:43" ht="15" customHeight="1" thickBot="1" x14ac:dyDescent="0.25">
      <c r="O56" s="36">
        <v>8000</v>
      </c>
      <c r="P56" s="40">
        <v>235</v>
      </c>
      <c r="Q56" s="40">
        <v>250</v>
      </c>
      <c r="R56" s="13">
        <v>270</v>
      </c>
      <c r="S56" s="321">
        <v>350</v>
      </c>
      <c r="T56" s="321">
        <v>375</v>
      </c>
      <c r="U56" s="321">
        <v>405</v>
      </c>
      <c r="V56" s="13">
        <v>525</v>
      </c>
      <c r="W56" s="24">
        <v>555</v>
      </c>
      <c r="X56" s="24">
        <v>590</v>
      </c>
      <c r="Y56" s="372">
        <v>640</v>
      </c>
      <c r="Z56" s="372">
        <v>680</v>
      </c>
      <c r="AA56" s="468">
        <v>725</v>
      </c>
      <c r="AE56" s="462" t="s">
        <v>28</v>
      </c>
      <c r="AF56" s="237"/>
      <c r="AG56" s="425">
        <v>210</v>
      </c>
      <c r="AH56" s="411">
        <v>7.4999999999999997E-3</v>
      </c>
      <c r="AJ56" s="416">
        <v>325</v>
      </c>
      <c r="AK56" s="417">
        <v>8.7500000000000008E-3</v>
      </c>
      <c r="AM56" s="425">
        <v>485</v>
      </c>
      <c r="AN56" s="411">
        <v>1.2500000000000001E-2</v>
      </c>
      <c r="AO56"/>
      <c r="AP56" s="426">
        <v>590</v>
      </c>
      <c r="AQ56" s="427">
        <v>1.6250000000000001E-2</v>
      </c>
    </row>
    <row r="57" spans="15:43" ht="15" customHeight="1" x14ac:dyDescent="0.2">
      <c r="O57" s="2"/>
      <c r="R57"/>
      <c r="S57"/>
      <c r="T57"/>
      <c r="U57"/>
      <c r="V57"/>
      <c r="W57"/>
      <c r="X57"/>
      <c r="Y57"/>
      <c r="Z57"/>
      <c r="AA57"/>
      <c r="AM57" s="16"/>
      <c r="AN57" s="21"/>
      <c r="AO57"/>
      <c r="AP57"/>
      <c r="AQ57"/>
    </row>
    <row r="58" spans="15:43" ht="15" customHeight="1" thickBot="1" x14ac:dyDescent="0.25">
      <c r="O58" s="2" t="s">
        <v>59</v>
      </c>
      <c r="P58" s="3">
        <f>AG54+AH54*$K$9</f>
        <v>187.13</v>
      </c>
      <c r="Q58" s="3">
        <f>AG55+AH55*$K$9</f>
        <v>202.66249999999999</v>
      </c>
      <c r="R58" s="9">
        <f>AG56+AH56*$K$9</f>
        <v>213.19499999999999</v>
      </c>
      <c r="S58" s="434">
        <f>AJ54+AK54*$K$9</f>
        <v>283.19499999999999</v>
      </c>
      <c r="T58" s="434">
        <f>AJ55+AK55*$K$9</f>
        <v>303.72750000000002</v>
      </c>
      <c r="U58" s="325">
        <f>AJ56+AK56*$K$9</f>
        <v>328.72750000000002</v>
      </c>
      <c r="V58" s="3">
        <f>AM54+AN54*$K$9</f>
        <v>439.26</v>
      </c>
      <c r="W58" s="3">
        <f>AM55+AN55*$K$9</f>
        <v>464.79250000000002</v>
      </c>
      <c r="X58" s="9">
        <f>AM56+AN56*$K$9</f>
        <v>490.32499999999999</v>
      </c>
      <c r="Y58" s="434">
        <f>AP54+AQ54*$K$9</f>
        <v>535.32500000000005</v>
      </c>
      <c r="Z58" s="434">
        <f>AP55+AQ55*$K$9</f>
        <v>565.85749999999996</v>
      </c>
      <c r="AA58" s="325">
        <f>AP56+AQ56*$K$9</f>
        <v>596.92250000000001</v>
      </c>
      <c r="AC58" s="237"/>
      <c r="AD58" s="237"/>
      <c r="AE58" s="405"/>
      <c r="AF58" s="237"/>
      <c r="AG58" s="237" t="s">
        <v>40</v>
      </c>
      <c r="AH58" s="237"/>
      <c r="AI58" s="237"/>
      <c r="AJ58" s="237" t="s">
        <v>41</v>
      </c>
      <c r="AK58" s="237"/>
      <c r="AL58" s="237"/>
      <c r="AM58" s="237" t="s">
        <v>186</v>
      </c>
      <c r="AN58" s="237"/>
      <c r="AO58" s="237"/>
      <c r="AP58" t="s">
        <v>186</v>
      </c>
      <c r="AQ58"/>
    </row>
    <row r="59" spans="15:43" ht="15" customHeight="1" x14ac:dyDescent="0.2">
      <c r="O59" s="2"/>
      <c r="R59"/>
      <c r="S59"/>
      <c r="T59"/>
      <c r="U59"/>
      <c r="V59"/>
      <c r="W59"/>
      <c r="X59"/>
      <c r="Y59"/>
      <c r="Z59"/>
      <c r="AA59"/>
      <c r="AE59" s="463" t="s">
        <v>27</v>
      </c>
      <c r="AF59" s="237"/>
      <c r="AG59" s="423">
        <v>175</v>
      </c>
      <c r="AH59" s="238">
        <v>7.4999999999999997E-3</v>
      </c>
      <c r="AJ59" s="412">
        <v>270</v>
      </c>
      <c r="AK59" s="413">
        <v>0.01</v>
      </c>
      <c r="AM59" s="423">
        <v>425</v>
      </c>
      <c r="AN59" s="238">
        <v>1.2500000000000001E-2</v>
      </c>
      <c r="AO59"/>
      <c r="AP59" s="412">
        <v>520</v>
      </c>
      <c r="AQ59" s="413">
        <v>1.4999999999999999E-2</v>
      </c>
    </row>
    <row r="60" spans="15:43" ht="15" customHeight="1" x14ac:dyDescent="0.2">
      <c r="O60" s="2" t="s">
        <v>60</v>
      </c>
      <c r="P60" s="3">
        <f>AG59+AH59*$K$9</f>
        <v>178.19499999999999</v>
      </c>
      <c r="Q60" s="3">
        <f>AG60+AH60*$K$9</f>
        <v>202.66249999999999</v>
      </c>
      <c r="R60" s="9">
        <f>AG61+AH61*$K$9</f>
        <v>213.19499999999999</v>
      </c>
      <c r="S60" s="434">
        <f>AJ59+AK59*$K$9</f>
        <v>274.26</v>
      </c>
      <c r="T60" s="434">
        <f>AJ60+AK60*$K$9</f>
        <v>299.26</v>
      </c>
      <c r="U60" s="325">
        <f>AJ61+AK61*$K$9</f>
        <v>319.79250000000002</v>
      </c>
      <c r="V60" s="3">
        <f>AM59+AN59*$K$9</f>
        <v>430.32499999999999</v>
      </c>
      <c r="W60" s="3">
        <f>AM60+AN60*$K$9</f>
        <v>460.32499999999999</v>
      </c>
      <c r="X60" s="9">
        <f>AM61+AN61*$K$9</f>
        <v>485.85750000000002</v>
      </c>
      <c r="Y60" s="434">
        <f>AP59+AQ59*$K$9</f>
        <v>526.39</v>
      </c>
      <c r="Z60" s="434">
        <f>AP60+AQ60*$K$9</f>
        <v>556.92250000000001</v>
      </c>
      <c r="AA60" s="325">
        <f>AP61+AQ61*$K$9</f>
        <v>592.45500000000004</v>
      </c>
      <c r="AC60" s="955" t="s">
        <v>188</v>
      </c>
      <c r="AD60" s="955"/>
      <c r="AE60" s="464" t="s">
        <v>14</v>
      </c>
      <c r="AF60" s="237"/>
      <c r="AG60" s="424">
        <v>200</v>
      </c>
      <c r="AH60" s="408">
        <v>6.2500000000000003E-3</v>
      </c>
      <c r="AJ60" s="414">
        <v>295</v>
      </c>
      <c r="AK60" s="415">
        <v>0.01</v>
      </c>
      <c r="AM60" s="424">
        <v>455</v>
      </c>
      <c r="AN60" s="408">
        <v>1.2500000000000001E-2</v>
      </c>
      <c r="AO60"/>
      <c r="AP60" s="414">
        <v>550</v>
      </c>
      <c r="AQ60" s="415">
        <v>1.6250000000000001E-2</v>
      </c>
    </row>
    <row r="61" spans="15:43" ht="15" customHeight="1" thickBot="1" x14ac:dyDescent="0.25">
      <c r="O61" s="2"/>
      <c r="R61"/>
      <c r="S61"/>
      <c r="T61"/>
      <c r="U61"/>
      <c r="V61"/>
      <c r="W61"/>
      <c r="X61"/>
      <c r="Y61"/>
      <c r="Z61"/>
      <c r="AA61"/>
      <c r="AC61" s="237"/>
      <c r="AD61" s="237"/>
      <c r="AE61" s="465" t="s">
        <v>28</v>
      </c>
      <c r="AF61" s="237"/>
      <c r="AG61" s="425">
        <v>210</v>
      </c>
      <c r="AH61" s="411">
        <v>7.4999999999999997E-3</v>
      </c>
      <c r="AJ61" s="397">
        <v>315</v>
      </c>
      <c r="AK61" s="422">
        <v>1.125E-2</v>
      </c>
      <c r="AM61" s="425">
        <v>480</v>
      </c>
      <c r="AN61" s="411">
        <v>1.375E-2</v>
      </c>
      <c r="AO61"/>
      <c r="AP61" s="421">
        <v>585</v>
      </c>
      <c r="AQ61" s="422">
        <v>1.7500000000000002E-2</v>
      </c>
    </row>
    <row r="62" spans="15:43" ht="15" customHeight="1" thickBot="1" x14ac:dyDescent="0.25">
      <c r="O62" s="2" t="s">
        <v>23</v>
      </c>
      <c r="P62" s="469">
        <f>IF($K$9&gt;=4000,P60,P58)</f>
        <v>187.13</v>
      </c>
      <c r="Q62" s="470">
        <f t="shared" ref="Q62:AA62" si="2">IF($K$9&gt;=4000,Q60,Q58)</f>
        <v>202.66249999999999</v>
      </c>
      <c r="R62" s="470">
        <f t="shared" si="2"/>
        <v>213.19499999999999</v>
      </c>
      <c r="S62" s="471">
        <f t="shared" si="2"/>
        <v>283.19499999999999</v>
      </c>
      <c r="T62" s="471">
        <f t="shared" si="2"/>
        <v>303.72750000000002</v>
      </c>
      <c r="U62" s="472">
        <f t="shared" si="2"/>
        <v>328.72750000000002</v>
      </c>
      <c r="V62" s="469">
        <f t="shared" si="2"/>
        <v>439.26</v>
      </c>
      <c r="W62" s="470">
        <f t="shared" si="2"/>
        <v>464.79250000000002</v>
      </c>
      <c r="X62" s="470">
        <f t="shared" si="2"/>
        <v>490.32499999999999</v>
      </c>
      <c r="Y62" s="471">
        <f t="shared" si="2"/>
        <v>535.32500000000005</v>
      </c>
      <c r="Z62" s="471">
        <f t="shared" si="2"/>
        <v>565.85749999999996</v>
      </c>
      <c r="AA62" s="473">
        <f t="shared" si="2"/>
        <v>596.92250000000001</v>
      </c>
    </row>
    <row r="63" spans="15:43" ht="15" customHeight="1" x14ac:dyDescent="0.2">
      <c r="P63" s="4"/>
      <c r="Q63"/>
      <c r="R63"/>
      <c r="S63" s="4"/>
      <c r="T63"/>
      <c r="U63"/>
      <c r="V63" s="4"/>
      <c r="W63"/>
      <c r="X63"/>
      <c r="Y63" s="4"/>
      <c r="Z63"/>
      <c r="AA63"/>
    </row>
    <row r="64" spans="15:43" ht="15" customHeight="1" x14ac:dyDescent="0.2">
      <c r="O64" s="2" t="s">
        <v>30</v>
      </c>
      <c r="P64" s="401">
        <f>15-H9/1000*2</f>
        <v>14.148</v>
      </c>
      <c r="Q64" s="2" t="s">
        <v>4</v>
      </c>
      <c r="R64" s="2" t="s">
        <v>31</v>
      </c>
      <c r="S64" s="401">
        <f>H10</f>
        <v>32</v>
      </c>
      <c r="T64" s="2"/>
      <c r="U64" s="2"/>
      <c r="V64" s="2"/>
      <c r="W64" s="2"/>
      <c r="X64" s="2"/>
      <c r="Y64" s="2"/>
      <c r="Z64"/>
      <c r="AA64"/>
      <c r="AC64" s="1" t="s">
        <v>4</v>
      </c>
    </row>
    <row r="65" spans="15:43" ht="15" customHeight="1" x14ac:dyDescent="0.2">
      <c r="P65" s="4" t="s">
        <v>40</v>
      </c>
      <c r="Q65"/>
      <c r="R65"/>
      <c r="S65" s="4" t="s">
        <v>41</v>
      </c>
      <c r="T65"/>
      <c r="U65"/>
      <c r="V65" s="4" t="s">
        <v>49</v>
      </c>
      <c r="W65"/>
      <c r="X65"/>
      <c r="Y65" s="4" t="s">
        <v>50</v>
      </c>
      <c r="Z65"/>
      <c r="AA65"/>
      <c r="AB65" s="1" t="s">
        <v>4</v>
      </c>
    </row>
    <row r="66" spans="15:43" ht="15" customHeight="1" x14ac:dyDescent="0.2">
      <c r="O66" s="1" t="s">
        <v>29</v>
      </c>
      <c r="P66" s="31">
        <f>IF(S64&gt;=P64,Q62+((R62-Q62)/20)*(S64-P64),Q62-((Q62-P62)/20)*(P64-S64))</f>
        <v>212.06380949999999</v>
      </c>
      <c r="Q66"/>
      <c r="R66"/>
      <c r="S66" s="479">
        <f>IF(S64&gt;=P64,T62+((U62-T62)/20)*(S64-P64),T62-((T62-S62)/20)*(P64-S64))</f>
        <v>326.04250000000002</v>
      </c>
      <c r="T66"/>
      <c r="U66" t="s">
        <v>4</v>
      </c>
      <c r="V66" s="31">
        <f>IF(S64&gt;=P64,W62+((X62-W62)/20)*(S64-P64),W62-((W62-V62)/20)*(P64-S64))</f>
        <v>487.5828095</v>
      </c>
      <c r="W66" t="s">
        <v>4</v>
      </c>
      <c r="X66"/>
      <c r="Y66" s="479">
        <f>IF(S64&gt;=P64,Z62+((AA62-Z62)/20)*(S64-P64),Z62-((Z62-Y62)/20)*(P64-S64))</f>
        <v>593.58611900000005</v>
      </c>
      <c r="Z66"/>
      <c r="AA66" t="s">
        <v>4</v>
      </c>
    </row>
    <row r="67" spans="15:43" ht="15" customHeight="1" x14ac:dyDescent="0.2">
      <c r="P67"/>
      <c r="Q67"/>
      <c r="R67"/>
      <c r="S67"/>
      <c r="T67"/>
      <c r="U67"/>
      <c r="V67"/>
      <c r="W67"/>
      <c r="X67"/>
      <c r="Y67"/>
      <c r="Z67"/>
      <c r="AA67"/>
    </row>
    <row r="68" spans="15:43" ht="15" customHeight="1" x14ac:dyDescent="0.2">
      <c r="P68"/>
      <c r="Q68"/>
      <c r="R68"/>
      <c r="S68"/>
      <c r="T68"/>
      <c r="U68" t="s">
        <v>4</v>
      </c>
      <c r="V68"/>
      <c r="W68" t="s">
        <v>4</v>
      </c>
      <c r="X68" t="s">
        <v>4</v>
      </c>
      <c r="Y68"/>
      <c r="Z68"/>
      <c r="AA68"/>
    </row>
    <row r="69" spans="15:43" ht="15" customHeight="1" x14ac:dyDescent="0.2">
      <c r="P69"/>
      <c r="Q69"/>
      <c r="R69"/>
      <c r="S69"/>
      <c r="T69"/>
      <c r="U69"/>
      <c r="V69"/>
      <c r="W69"/>
      <c r="X69"/>
      <c r="Y69"/>
      <c r="Z69"/>
      <c r="AA69"/>
    </row>
    <row r="70" spans="15:43" ht="15" customHeight="1" x14ac:dyDescent="0.2">
      <c r="O70" s="16" t="s">
        <v>19</v>
      </c>
      <c r="P70"/>
      <c r="Q70"/>
      <c r="R70"/>
      <c r="S70"/>
      <c r="T70"/>
      <c r="U70"/>
      <c r="V70"/>
      <c r="W70"/>
      <c r="X70"/>
      <c r="Y70"/>
      <c r="Z70"/>
      <c r="AA70"/>
    </row>
    <row r="71" spans="15:43" ht="15" customHeight="1" x14ac:dyDescent="0.2">
      <c r="P71" s="885" t="s">
        <v>34</v>
      </c>
      <c r="Q71" s="885"/>
      <c r="R71" s="885"/>
      <c r="S71" s="885"/>
      <c r="T71" s="885"/>
      <c r="U71" s="885"/>
      <c r="V71" s="885" t="s">
        <v>35</v>
      </c>
      <c r="W71" s="885"/>
      <c r="X71" s="885"/>
      <c r="Y71" s="885"/>
      <c r="Z71" s="885"/>
      <c r="AA71" s="885"/>
    </row>
    <row r="72" spans="15:43" ht="15" customHeight="1" x14ac:dyDescent="0.2">
      <c r="P72" s="885" t="s">
        <v>36</v>
      </c>
      <c r="Q72" s="885"/>
      <c r="R72" s="885"/>
      <c r="S72" s="886" t="s">
        <v>37</v>
      </c>
      <c r="T72" s="886"/>
      <c r="U72" s="886"/>
      <c r="V72" s="885" t="s">
        <v>36</v>
      </c>
      <c r="W72" s="885"/>
      <c r="X72" s="885"/>
      <c r="Y72" s="886" t="s">
        <v>37</v>
      </c>
      <c r="Z72" s="886"/>
      <c r="AA72" s="886"/>
    </row>
    <row r="73" spans="15:43" ht="15" customHeight="1" x14ac:dyDescent="0.2">
      <c r="P73" s="885" t="s">
        <v>38</v>
      </c>
      <c r="Q73" s="885"/>
      <c r="R73" s="885"/>
      <c r="S73" s="886" t="s">
        <v>39</v>
      </c>
      <c r="T73" s="886"/>
      <c r="U73" s="886"/>
      <c r="V73" s="885" t="s">
        <v>38</v>
      </c>
      <c r="W73" s="885"/>
      <c r="X73" s="885"/>
      <c r="Y73" s="886" t="s">
        <v>39</v>
      </c>
      <c r="Z73" s="886"/>
      <c r="AA73" s="886"/>
    </row>
    <row r="74" spans="15:43" ht="15" customHeight="1" thickBot="1" x14ac:dyDescent="0.25">
      <c r="O74" s="1" t="s">
        <v>1</v>
      </c>
      <c r="P74" s="22" t="s">
        <v>27</v>
      </c>
      <c r="Q74" s="22" t="s">
        <v>14</v>
      </c>
      <c r="R74" s="22" t="s">
        <v>28</v>
      </c>
      <c r="S74" s="373" t="s">
        <v>27</v>
      </c>
      <c r="T74" s="373" t="s">
        <v>14</v>
      </c>
      <c r="U74" s="373" t="s">
        <v>28</v>
      </c>
      <c r="V74" s="22" t="s">
        <v>27</v>
      </c>
      <c r="W74" s="22" t="s">
        <v>14</v>
      </c>
      <c r="X74" s="22" t="s">
        <v>28</v>
      </c>
      <c r="Y74" s="373" t="s">
        <v>27</v>
      </c>
      <c r="Z74" s="373" t="s">
        <v>14</v>
      </c>
      <c r="AA74" s="325" t="s">
        <v>28</v>
      </c>
      <c r="AG74" s="1" t="s">
        <v>40</v>
      </c>
      <c r="AJ74" s="1" t="s">
        <v>41</v>
      </c>
      <c r="AM74" s="1" t="s">
        <v>185</v>
      </c>
      <c r="AN74"/>
      <c r="AO74" s="4"/>
      <c r="AP74" s="4" t="s">
        <v>186</v>
      </c>
      <c r="AQ74" s="4"/>
    </row>
    <row r="75" spans="15:43" ht="15" customHeight="1" x14ac:dyDescent="0.2">
      <c r="O75" s="2">
        <v>0</v>
      </c>
      <c r="P75" s="41">
        <v>145</v>
      </c>
      <c r="Q75" s="41">
        <v>155</v>
      </c>
      <c r="R75" s="41">
        <v>165</v>
      </c>
      <c r="S75" s="374">
        <v>215</v>
      </c>
      <c r="T75" s="374">
        <v>230</v>
      </c>
      <c r="U75" s="374">
        <v>250</v>
      </c>
      <c r="V75" s="22">
        <v>365</v>
      </c>
      <c r="W75" s="42">
        <v>385</v>
      </c>
      <c r="X75" s="42">
        <v>400</v>
      </c>
      <c r="Y75" s="375">
        <v>435</v>
      </c>
      <c r="Z75" s="375">
        <v>460</v>
      </c>
      <c r="AA75" s="373">
        <v>485</v>
      </c>
      <c r="AC75" s="2"/>
      <c r="AD75" s="2"/>
      <c r="AE75" s="460" t="s">
        <v>27</v>
      </c>
      <c r="AF75" s="237"/>
      <c r="AG75" s="423">
        <v>145</v>
      </c>
      <c r="AH75" s="238">
        <v>3.7499999999999999E-3</v>
      </c>
      <c r="AI75" s="2"/>
      <c r="AJ75" s="412">
        <v>215</v>
      </c>
      <c r="AK75" s="413">
        <v>6.2500000000000003E-3</v>
      </c>
      <c r="AM75" s="423">
        <v>365</v>
      </c>
      <c r="AN75" s="238">
        <v>7.4999999999999997E-3</v>
      </c>
      <c r="AO75"/>
      <c r="AP75" s="412">
        <v>435</v>
      </c>
      <c r="AQ75" s="413">
        <v>0.01</v>
      </c>
    </row>
    <row r="76" spans="15:43" ht="15" customHeight="1" x14ac:dyDescent="0.2">
      <c r="O76" s="2">
        <v>4000</v>
      </c>
      <c r="P76" s="6">
        <v>160</v>
      </c>
      <c r="Q76" s="6">
        <v>175</v>
      </c>
      <c r="R76" s="6">
        <v>185</v>
      </c>
      <c r="S76" s="320">
        <v>240</v>
      </c>
      <c r="T76" s="320">
        <v>260</v>
      </c>
      <c r="U76" s="320">
        <v>285</v>
      </c>
      <c r="V76" s="12">
        <v>395</v>
      </c>
      <c r="W76" s="25">
        <v>420</v>
      </c>
      <c r="X76" s="25">
        <v>440</v>
      </c>
      <c r="Y76" s="371">
        <v>475</v>
      </c>
      <c r="Z76" s="371">
        <v>505</v>
      </c>
      <c r="AA76" s="467">
        <v>530</v>
      </c>
      <c r="AC76" s="839" t="s">
        <v>187</v>
      </c>
      <c r="AD76" s="956"/>
      <c r="AE76" s="461" t="s">
        <v>14</v>
      </c>
      <c r="AF76" s="237"/>
      <c r="AG76" s="424">
        <v>155</v>
      </c>
      <c r="AH76" s="408">
        <v>5.0000000000000001E-3</v>
      </c>
      <c r="AJ76" s="414">
        <v>230</v>
      </c>
      <c r="AK76" s="415">
        <v>7.4999999999999997E-3</v>
      </c>
      <c r="AM76" s="424">
        <v>385</v>
      </c>
      <c r="AN76" s="408">
        <v>8.7500000000000008E-3</v>
      </c>
      <c r="AO76"/>
      <c r="AP76" s="414">
        <v>460</v>
      </c>
      <c r="AQ76" s="415">
        <v>1.125E-2</v>
      </c>
    </row>
    <row r="77" spans="15:43" ht="15" customHeight="1" thickBot="1" x14ac:dyDescent="0.25">
      <c r="O77" s="2">
        <v>8000</v>
      </c>
      <c r="P77" s="7">
        <v>180</v>
      </c>
      <c r="Q77" s="7">
        <v>195</v>
      </c>
      <c r="R77" s="7">
        <v>210</v>
      </c>
      <c r="S77" s="321">
        <v>275</v>
      </c>
      <c r="T77" s="321">
        <v>290</v>
      </c>
      <c r="U77" s="321">
        <v>315</v>
      </c>
      <c r="V77" s="13">
        <v>430</v>
      </c>
      <c r="W77" s="24">
        <v>460</v>
      </c>
      <c r="X77" s="24">
        <v>485</v>
      </c>
      <c r="Y77" s="372">
        <v>525</v>
      </c>
      <c r="Z77" s="372">
        <v>555</v>
      </c>
      <c r="AA77" s="468">
        <v>590</v>
      </c>
      <c r="AE77" s="462" t="s">
        <v>28</v>
      </c>
      <c r="AF77" s="237"/>
      <c r="AG77" s="425">
        <v>165</v>
      </c>
      <c r="AH77" s="411">
        <v>5.0000000000000001E-3</v>
      </c>
      <c r="AJ77" s="416">
        <v>250</v>
      </c>
      <c r="AK77" s="417">
        <v>8.7500000000000008E-3</v>
      </c>
      <c r="AM77" s="425">
        <v>400</v>
      </c>
      <c r="AN77" s="411">
        <v>0.01</v>
      </c>
      <c r="AO77"/>
      <c r="AP77" s="426">
        <v>485</v>
      </c>
      <c r="AQ77" s="427">
        <v>1.125E-2</v>
      </c>
    </row>
    <row r="78" spans="15:43" ht="15" customHeight="1" x14ac:dyDescent="0.2">
      <c r="O78" s="2"/>
      <c r="P78"/>
      <c r="Q78"/>
      <c r="R78"/>
      <c r="S78"/>
      <c r="T78"/>
      <c r="U78"/>
      <c r="V78"/>
      <c r="W78"/>
      <c r="X78"/>
      <c r="Y78"/>
      <c r="Z78"/>
      <c r="AA78"/>
      <c r="AM78" s="16"/>
      <c r="AN78" s="21"/>
      <c r="AO78"/>
      <c r="AP78"/>
      <c r="AQ78"/>
    </row>
    <row r="79" spans="15:43" ht="15" customHeight="1" thickBot="1" x14ac:dyDescent="0.25">
      <c r="O79" s="2" t="s">
        <v>59</v>
      </c>
      <c r="P79" s="9">
        <f>145+0.00375*K9</f>
        <v>146.5975</v>
      </c>
      <c r="Q79" s="9">
        <f>155+0.005*K9</f>
        <v>157.13</v>
      </c>
      <c r="R79" s="9">
        <f>165+0.005*K9</f>
        <v>167.13</v>
      </c>
      <c r="S79" s="325">
        <f>215+0.00625*K9</f>
        <v>217.66249999999999</v>
      </c>
      <c r="T79" s="325">
        <f>230+0.0075*K9</f>
        <v>233.19499999999999</v>
      </c>
      <c r="U79" s="325">
        <f>250+0.00875*K9</f>
        <v>253.72749999999999</v>
      </c>
      <c r="V79" s="9">
        <f>365+0.0075*K9</f>
        <v>368.19499999999999</v>
      </c>
      <c r="W79" s="9">
        <f>385+0.00875*K9</f>
        <v>388.72750000000002</v>
      </c>
      <c r="X79" s="9">
        <f>400+0.01*K9</f>
        <v>404.26</v>
      </c>
      <c r="Y79" s="325">
        <f>435+0.01*K9</f>
        <v>439.26</v>
      </c>
      <c r="Z79" s="325">
        <f>460+0.01125*K9</f>
        <v>464.79250000000002</v>
      </c>
      <c r="AA79" s="325">
        <f>485+0.01125*K9</f>
        <v>489.79250000000002</v>
      </c>
      <c r="AC79" s="237"/>
      <c r="AD79" s="237"/>
      <c r="AE79" s="405"/>
      <c r="AF79" s="237"/>
      <c r="AG79" s="237" t="s">
        <v>40</v>
      </c>
      <c r="AH79" s="237"/>
      <c r="AI79" s="237"/>
      <c r="AJ79" s="237" t="s">
        <v>41</v>
      </c>
      <c r="AK79" s="237"/>
      <c r="AL79" s="237"/>
      <c r="AM79" s="237" t="s">
        <v>186</v>
      </c>
      <c r="AN79" s="237"/>
      <c r="AO79" s="237"/>
      <c r="AP79" t="s">
        <v>186</v>
      </c>
      <c r="AQ79"/>
    </row>
    <row r="80" spans="15:43" ht="15" customHeight="1" x14ac:dyDescent="0.2">
      <c r="O80" s="2"/>
      <c r="P80"/>
      <c r="Q80"/>
      <c r="R80"/>
      <c r="S80"/>
      <c r="T80"/>
      <c r="U80"/>
      <c r="V80"/>
      <c r="W80"/>
      <c r="X80"/>
      <c r="Y80"/>
      <c r="Z80"/>
      <c r="AA80"/>
      <c r="AE80" s="463" t="s">
        <v>27</v>
      </c>
      <c r="AF80" s="237"/>
      <c r="AG80" s="423">
        <v>140</v>
      </c>
      <c r="AH80" s="238">
        <v>5.0000000000000001E-3</v>
      </c>
      <c r="AJ80" s="412">
        <v>205</v>
      </c>
      <c r="AK80" s="413">
        <v>8.7500000000000008E-3</v>
      </c>
      <c r="AM80" s="423">
        <v>360</v>
      </c>
      <c r="AN80" s="238">
        <v>8.7500000000000008E-3</v>
      </c>
      <c r="AO80"/>
      <c r="AP80" s="412">
        <v>425</v>
      </c>
      <c r="AQ80" s="413">
        <v>1.2500000000000001E-2</v>
      </c>
    </row>
    <row r="81" spans="15:43" ht="15" customHeight="1" x14ac:dyDescent="0.2">
      <c r="O81" s="2" t="s">
        <v>60</v>
      </c>
      <c r="P81" s="9">
        <f>140+0.005*K9</f>
        <v>142.13</v>
      </c>
      <c r="Q81" s="9">
        <f>155+0.005*K9</f>
        <v>157.13</v>
      </c>
      <c r="R81" s="9">
        <f>160+0.00625*K9</f>
        <v>162.66249999999999</v>
      </c>
      <c r="S81" s="325">
        <f>205+0.00875*K9</f>
        <v>208.72749999999999</v>
      </c>
      <c r="T81" s="325">
        <f>230+0.0075*K9</f>
        <v>233.19499999999999</v>
      </c>
      <c r="U81" s="325">
        <f>255+0.0075*K9</f>
        <v>258.19499999999999</v>
      </c>
      <c r="V81" s="9">
        <f>360+0.00875*K9</f>
        <v>363.72750000000002</v>
      </c>
      <c r="W81" s="9">
        <f>380+0.01*K9</f>
        <v>384.26</v>
      </c>
      <c r="X81" s="9">
        <f>395+0.01125*K9</f>
        <v>399.79250000000002</v>
      </c>
      <c r="Y81" s="325">
        <f>425+0.0125*K9</f>
        <v>430.32499999999999</v>
      </c>
      <c r="Z81" s="325">
        <f>495+0.0125*K9</f>
        <v>500.32499999999999</v>
      </c>
      <c r="AA81" s="325">
        <f>470+0.015*K9</f>
        <v>476.39</v>
      </c>
      <c r="AC81" s="955" t="s">
        <v>188</v>
      </c>
      <c r="AD81" s="955"/>
      <c r="AE81" s="464" t="s">
        <v>14</v>
      </c>
      <c r="AF81" s="237"/>
      <c r="AG81" s="424">
        <v>155</v>
      </c>
      <c r="AH81" s="408">
        <v>5.0000000000000001E-3</v>
      </c>
      <c r="AJ81" s="414">
        <v>230</v>
      </c>
      <c r="AK81" s="415">
        <v>7.4999999999999997E-3</v>
      </c>
      <c r="AM81" s="424">
        <v>380</v>
      </c>
      <c r="AN81" s="408">
        <v>0.01</v>
      </c>
      <c r="AO81"/>
      <c r="AP81" s="414">
        <v>495</v>
      </c>
      <c r="AQ81" s="415">
        <v>1.2500000000000001E-2</v>
      </c>
    </row>
    <row r="82" spans="15:43" ht="15" customHeight="1" thickBot="1" x14ac:dyDescent="0.25">
      <c r="O82" s="2"/>
      <c r="P82"/>
      <c r="Q82"/>
      <c r="R82"/>
      <c r="S82"/>
      <c r="T82"/>
      <c r="U82"/>
      <c r="V82"/>
      <c r="W82"/>
      <c r="X82"/>
      <c r="Y82"/>
      <c r="Z82"/>
      <c r="AA82"/>
      <c r="AC82" s="237"/>
      <c r="AD82" s="237"/>
      <c r="AE82" s="465" t="s">
        <v>28</v>
      </c>
      <c r="AF82" s="237"/>
      <c r="AG82" s="425">
        <v>160</v>
      </c>
      <c r="AH82" s="411">
        <v>6.2500000000000003E-3</v>
      </c>
      <c r="AJ82" s="397">
        <v>255</v>
      </c>
      <c r="AK82" s="422">
        <v>7.4999999999999997E-3</v>
      </c>
      <c r="AM82" s="425">
        <v>395</v>
      </c>
      <c r="AN82" s="411">
        <v>1.125E-2</v>
      </c>
      <c r="AO82"/>
      <c r="AP82" s="421">
        <v>470</v>
      </c>
      <c r="AQ82" s="422">
        <v>1.4999999999999999E-2</v>
      </c>
    </row>
    <row r="83" spans="15:43" ht="15" customHeight="1" thickBot="1" x14ac:dyDescent="0.25">
      <c r="O83" t="s">
        <v>23</v>
      </c>
      <c r="P83" s="474">
        <f>IF($K$9&gt;=4000,P81,P79)</f>
        <v>146.5975</v>
      </c>
      <c r="Q83" s="475">
        <f t="shared" ref="Q83:AA83" si="3">IF($K$9&gt;=4000,Q81,Q79)</f>
        <v>157.13</v>
      </c>
      <c r="R83" s="475">
        <f t="shared" si="3"/>
        <v>167.13</v>
      </c>
      <c r="S83" s="476">
        <f t="shared" si="3"/>
        <v>217.66249999999999</v>
      </c>
      <c r="T83" s="476">
        <f t="shared" si="3"/>
        <v>233.19499999999999</v>
      </c>
      <c r="U83" s="477">
        <f t="shared" si="3"/>
        <v>253.72749999999999</v>
      </c>
      <c r="V83" s="474">
        <f t="shared" si="3"/>
        <v>368.19499999999999</v>
      </c>
      <c r="W83" s="475">
        <f t="shared" si="3"/>
        <v>388.72750000000002</v>
      </c>
      <c r="X83" s="475">
        <f t="shared" si="3"/>
        <v>404.26</v>
      </c>
      <c r="Y83" s="476">
        <f t="shared" si="3"/>
        <v>439.26</v>
      </c>
      <c r="Z83" s="476">
        <f t="shared" si="3"/>
        <v>464.79250000000002</v>
      </c>
      <c r="AA83" s="478">
        <f t="shared" si="3"/>
        <v>489.79250000000002</v>
      </c>
    </row>
    <row r="84" spans="15:43" ht="15" customHeight="1" x14ac:dyDescent="0.2"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5:43" ht="15" customHeight="1" x14ac:dyDescent="0.2"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5:43" ht="15" customHeight="1" x14ac:dyDescent="0.2">
      <c r="O86"/>
      <c r="P86" s="4" t="s">
        <v>40</v>
      </c>
      <c r="Q86"/>
      <c r="R86"/>
      <c r="S86" s="4" t="s">
        <v>41</v>
      </c>
      <c r="T86"/>
      <c r="U86"/>
      <c r="V86" s="4" t="s">
        <v>51</v>
      </c>
      <c r="W86"/>
      <c r="X86"/>
      <c r="Y86" s="4" t="s">
        <v>52</v>
      </c>
      <c r="Z86"/>
      <c r="AA86"/>
    </row>
    <row r="87" spans="15:43" ht="15" customHeight="1" x14ac:dyDescent="0.2">
      <c r="O87" t="s">
        <v>29</v>
      </c>
      <c r="P87" s="31">
        <f>IF(S64&gt;=P64,Q83+((R83-Q83)/20)*(S64-P64),Q83-((Q83-P83)/20)*(P64-S64))</f>
        <v>166.05599999999998</v>
      </c>
      <c r="Q87"/>
      <c r="R87"/>
      <c r="S87" s="479">
        <f>IF(S64&gt;=P64,T83+((U83-T83)/20)*(S64-P64),T83-((T83-S83)/20)*(P64-S64))</f>
        <v>251.52230950000001</v>
      </c>
      <c r="T87" t="s">
        <v>4</v>
      </c>
      <c r="U87"/>
      <c r="V87" s="31">
        <f>IF(S64&gt;=P64,W83+((X83-W83)/20)*(S64-P64),W83-((W83-V83)/20)*(P64-S64))</f>
        <v>402.59180950000001</v>
      </c>
      <c r="W87"/>
      <c r="X87"/>
      <c r="Y87" s="479">
        <f>IF(S64&gt;=P64,Z83+((AA83-Z83)/20)*(S64-P64),Z83-((Z83-Y83)/20)*(P64-S64))</f>
        <v>487.10750000000002</v>
      </c>
      <c r="Z87"/>
      <c r="AA87"/>
    </row>
    <row r="88" spans="15:43" ht="15" customHeight="1" x14ac:dyDescent="0.2">
      <c r="O88"/>
      <c r="P88"/>
      <c r="Q88"/>
      <c r="R88" t="s">
        <v>4</v>
      </c>
      <c r="S88"/>
      <c r="T88"/>
      <c r="U88"/>
      <c r="V88"/>
      <c r="W88"/>
      <c r="X88"/>
      <c r="Y88"/>
      <c r="Z88"/>
      <c r="AA88"/>
    </row>
    <row r="89" spans="15:43" ht="15" customHeight="1" thickBot="1" x14ac:dyDescent="0.25">
      <c r="O89"/>
      <c r="P89" s="4" t="s">
        <v>40</v>
      </c>
      <c r="Q89"/>
      <c r="R89"/>
      <c r="S89" s="4" t="s">
        <v>41</v>
      </c>
      <c r="T89" t="s">
        <v>4</v>
      </c>
      <c r="U89"/>
      <c r="V89" s="4" t="s">
        <v>51</v>
      </c>
      <c r="W89"/>
      <c r="X89"/>
      <c r="Y89" s="4" t="s">
        <v>52</v>
      </c>
      <c r="Z89"/>
      <c r="AA89" t="s">
        <v>4</v>
      </c>
    </row>
    <row r="90" spans="15:43" ht="15" customHeight="1" thickBot="1" x14ac:dyDescent="0.25">
      <c r="O90" t="s">
        <v>25</v>
      </c>
      <c r="P90" s="480">
        <f>P87+(P66-P87)/200*(H8-700)</f>
        <v>208.60862300655</v>
      </c>
      <c r="Q90"/>
      <c r="R90"/>
      <c r="S90" s="482">
        <f>S87+(S66-S87)/200*(H8-700)</f>
        <v>320.44603369345003</v>
      </c>
      <c r="T90"/>
      <c r="U90"/>
      <c r="V90" s="481">
        <f>V87+(V66-V87)/200*(H8-700)</f>
        <v>481.1999854</v>
      </c>
      <c r="W90"/>
      <c r="X90"/>
      <c r="Y90" s="483">
        <f>Y87+(Y66-Y87)/200*(H8-700)</f>
        <v>585.58957471310009</v>
      </c>
      <c r="Z90"/>
      <c r="AA90"/>
    </row>
    <row r="91" spans="15:43" ht="15" customHeight="1" thickBot="1" x14ac:dyDescent="0.25">
      <c r="O91"/>
      <c r="P91"/>
      <c r="Q91"/>
      <c r="R91"/>
      <c r="S91"/>
      <c r="T91" s="492">
        <f>H13</f>
        <v>-4.3301270189221945</v>
      </c>
      <c r="U91" s="493">
        <f>-INT(H13)</f>
        <v>5</v>
      </c>
      <c r="V91"/>
      <c r="W91"/>
      <c r="X91"/>
      <c r="Y91"/>
      <c r="Z91"/>
      <c r="AA91"/>
    </row>
    <row r="92" spans="15:43" ht="79.5" customHeight="1" thickBot="1" x14ac:dyDescent="0.25">
      <c r="O92"/>
      <c r="P92" s="32" t="s">
        <v>54</v>
      </c>
      <c r="Q92"/>
      <c r="R92"/>
      <c r="S92" s="32" t="s">
        <v>53</v>
      </c>
      <c r="T92"/>
      <c r="U92"/>
      <c r="V92" s="32" t="s">
        <v>55</v>
      </c>
      <c r="W92" t="s">
        <v>4</v>
      </c>
      <c r="X92"/>
      <c r="Y92" s="32" t="s">
        <v>56</v>
      </c>
      <c r="Z92"/>
      <c r="AA92"/>
    </row>
    <row r="93" spans="15:43" ht="15" customHeight="1" thickBot="1" x14ac:dyDescent="0.25">
      <c r="O93" t="s">
        <v>26</v>
      </c>
      <c r="P93" s="14">
        <f>IF(H13&gt;=-10,(1-0.023*U91)*P90,IF(H13&gt;=-20,(0.92-0.015*U91)*P90,(0.84-0.011*U91)*P90))</f>
        <v>184.61863136079677</v>
      </c>
      <c r="Q93" t="s">
        <v>4</v>
      </c>
      <c r="R93"/>
      <c r="S93" s="484">
        <f>IF(H13&gt;=-10,(1-0.023*U91)*S90,IF(H13&gt;=-20,(0.92-0.015*U91)*S90,(0.84-0.011*U91)*S90))</f>
        <v>283.59473981870326</v>
      </c>
      <c r="T93"/>
      <c r="U93"/>
      <c r="V93" s="14">
        <f>IF(H13&gt;=-10,(1-0.023*U91)*V90,IF(H13&gt;=-20,(0.92-0.015*U91)*V90,(0.84-0.011*U91)*V90))</f>
        <v>425.86198707900002</v>
      </c>
      <c r="W93"/>
      <c r="X93"/>
      <c r="Y93" s="484">
        <f>IF(H13&gt;=-10,(1-0.023*U91)*Y90,IF(H13&gt;=-20,(0.92-0.015*U91)*Y90,(0.84-0.011*U91)*Y90))</f>
        <v>518.24677362109355</v>
      </c>
      <c r="Z93"/>
      <c r="AA93"/>
    </row>
    <row r="94" spans="15:43" ht="15" customHeight="1" x14ac:dyDescent="0.2"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5:43" ht="15" customHeight="1" x14ac:dyDescent="0.2">
      <c r="O95" s="1" t="s">
        <v>108</v>
      </c>
    </row>
    <row r="96" spans="15:43" ht="15" customHeight="1" x14ac:dyDescent="0.2">
      <c r="O96" s="83" t="s">
        <v>109</v>
      </c>
      <c r="P96" s="3">
        <f>H6</f>
        <v>75</v>
      </c>
      <c r="R96" s="3">
        <f>RADIANS(P96)</f>
        <v>1.3089969389957472</v>
      </c>
      <c r="T96" s="1" t="s">
        <v>111</v>
      </c>
      <c r="U96" s="3">
        <f>RADIANS(270)-R96</f>
        <v>3.4033920413889422</v>
      </c>
      <c r="W96" s="1" t="s">
        <v>113</v>
      </c>
      <c r="X96" s="3">
        <f>P97*(COS(U96)*COS(U98)+SIN(U96)*SIN(U98))</f>
        <v>-4.3301270189221945</v>
      </c>
    </row>
    <row r="97" spans="15:24" ht="15" customHeight="1" x14ac:dyDescent="0.2">
      <c r="O97" s="83" t="s">
        <v>110</v>
      </c>
      <c r="P97" s="3">
        <f>H7</f>
        <v>5</v>
      </c>
    </row>
    <row r="98" spans="15:24" ht="15" customHeight="1" x14ac:dyDescent="0.2">
      <c r="O98" s="83" t="s">
        <v>70</v>
      </c>
      <c r="P98" s="3">
        <f>H5</f>
        <v>105</v>
      </c>
      <c r="R98" s="3">
        <f>RADIANS(P98)</f>
        <v>1.8325957145940461</v>
      </c>
      <c r="T98" s="1" t="s">
        <v>112</v>
      </c>
      <c r="U98" s="3">
        <f>RADIANS(90)-R98</f>
        <v>-0.26179938779914957</v>
      </c>
      <c r="W98" s="1" t="s">
        <v>114</v>
      </c>
      <c r="X98" s="84">
        <f>P97*(SIN(U96)*COS(U98)-COS(U96)*SIN(U98))</f>
        <v>-2.4999999999999991</v>
      </c>
    </row>
  </sheetData>
  <mergeCells count="59">
    <mergeCell ref="AC11:AD11"/>
    <mergeCell ref="B1:D1"/>
    <mergeCell ref="F1:M1"/>
    <mergeCell ref="P2:R2"/>
    <mergeCell ref="S2:U2"/>
    <mergeCell ref="V2:X2"/>
    <mergeCell ref="Y2:AA2"/>
    <mergeCell ref="G3:H3"/>
    <mergeCell ref="K3:L3"/>
    <mergeCell ref="AC6:AD6"/>
    <mergeCell ref="K7:L7"/>
    <mergeCell ref="K9:L9"/>
    <mergeCell ref="Y23:AA23"/>
    <mergeCell ref="AU14:AV14"/>
    <mergeCell ref="F15:M15"/>
    <mergeCell ref="P17:Q17"/>
    <mergeCell ref="V17:W17"/>
    <mergeCell ref="P18:Q18"/>
    <mergeCell ref="V18:W18"/>
    <mergeCell ref="P38:Q38"/>
    <mergeCell ref="V38:W38"/>
    <mergeCell ref="F19:M19"/>
    <mergeCell ref="F23:G23"/>
    <mergeCell ref="P23:R23"/>
    <mergeCell ref="S23:U23"/>
    <mergeCell ref="V23:X23"/>
    <mergeCell ref="F25:G25"/>
    <mergeCell ref="AC27:AD27"/>
    <mergeCell ref="AC32:AD32"/>
    <mergeCell ref="P37:Q37"/>
    <mergeCell ref="V37:W37"/>
    <mergeCell ref="P41:Q41"/>
    <mergeCell ref="V41:W41"/>
    <mergeCell ref="S44:T44"/>
    <mergeCell ref="S47:T47"/>
    <mergeCell ref="P50:U50"/>
    <mergeCell ref="V50:AA50"/>
    <mergeCell ref="P51:R51"/>
    <mergeCell ref="S51:U51"/>
    <mergeCell ref="V51:X51"/>
    <mergeCell ref="Y51:AA51"/>
    <mergeCell ref="P52:R52"/>
    <mergeCell ref="S52:U52"/>
    <mergeCell ref="V52:X52"/>
    <mergeCell ref="Y52:AA52"/>
    <mergeCell ref="AC81:AD81"/>
    <mergeCell ref="AC55:AD55"/>
    <mergeCell ref="AC60:AD60"/>
    <mergeCell ref="P71:U71"/>
    <mergeCell ref="V71:AA71"/>
    <mergeCell ref="P72:R72"/>
    <mergeCell ref="S72:U72"/>
    <mergeCell ref="V72:X72"/>
    <mergeCell ref="Y72:AA72"/>
    <mergeCell ref="P73:R73"/>
    <mergeCell ref="S73:U73"/>
    <mergeCell ref="V73:X73"/>
    <mergeCell ref="Y73:AA73"/>
    <mergeCell ref="AC76:AD7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FFAF-3870-44AD-A9E2-56CCE0CB78DB}">
  <dimension ref="B1:AJ99"/>
  <sheetViews>
    <sheetView workbookViewId="0">
      <selection activeCell="C23" sqref="C23"/>
    </sheetView>
  </sheetViews>
  <sheetFormatPr baseColWidth="10" defaultColWidth="10.7109375" defaultRowHeight="15" customHeight="1" outlineLevelCol="1" x14ac:dyDescent="0.2"/>
  <cols>
    <col min="1" max="1" width="4.7109375" style="1" customWidth="1"/>
    <col min="2" max="4" width="11.42578125" style="1" customWidth="1"/>
    <col min="5" max="5" width="4.7109375" style="1" customWidth="1"/>
    <col min="6" max="6" width="15.7109375" style="1" customWidth="1"/>
    <col min="7" max="7" width="14.42578125" style="1" customWidth="1"/>
    <col min="8" max="8" width="12.7109375" style="1" customWidth="1"/>
    <col min="9" max="9" width="14.7109375" style="1" customWidth="1"/>
    <col min="10" max="10" width="16.42578125" style="1" bestFit="1" customWidth="1"/>
    <col min="11" max="11" width="5.7109375" style="1" customWidth="1"/>
    <col min="12" max="12" width="5.7109375" style="1" customWidth="1" outlineLevel="1"/>
    <col min="13" max="14" width="4.7109375" style="1" customWidth="1" outlineLevel="1"/>
    <col min="15" max="24" width="7.7109375" style="1" hidden="1" customWidth="1" outlineLevel="1"/>
    <col min="25" max="25" width="7.7109375" style="1" hidden="1" customWidth="1"/>
    <col min="26" max="28" width="15.7109375" style="2" hidden="1" customWidth="1"/>
    <col min="29" max="29" width="15.7109375" style="621" hidden="1" customWidth="1"/>
    <col min="30" max="30" width="10.7109375" style="1" hidden="1" customWidth="1"/>
    <col min="31" max="16384" width="10.7109375" style="1"/>
  </cols>
  <sheetData>
    <row r="1" spans="2:36" ht="24.95" customHeight="1" thickTop="1" thickBot="1" x14ac:dyDescent="0.25">
      <c r="B1" s="905" t="s">
        <v>80</v>
      </c>
      <c r="C1" s="906"/>
      <c r="D1" s="907"/>
      <c r="F1" s="905" t="s">
        <v>94</v>
      </c>
      <c r="G1" s="906"/>
      <c r="H1" s="906"/>
      <c r="I1" s="906"/>
      <c r="J1" s="906"/>
      <c r="K1" s="906"/>
      <c r="L1" s="906"/>
      <c r="M1" s="907"/>
      <c r="O1" s="49" t="s">
        <v>77</v>
      </c>
      <c r="P1" s="2" t="s">
        <v>63</v>
      </c>
      <c r="Q1" s="2" t="s">
        <v>14</v>
      </c>
      <c r="R1" s="2" t="s">
        <v>28</v>
      </c>
      <c r="S1"/>
      <c r="T1" s="49" t="s">
        <v>78</v>
      </c>
      <c r="U1" s="2" t="s">
        <v>63</v>
      </c>
      <c r="V1" s="2" t="s">
        <v>14</v>
      </c>
      <c r="W1" s="2" t="s">
        <v>28</v>
      </c>
      <c r="X1"/>
      <c r="Y1"/>
      <c r="Z1" s="4"/>
      <c r="AA1" s="2" t="s">
        <v>302</v>
      </c>
      <c r="AB1" s="2" t="s">
        <v>294</v>
      </c>
      <c r="AC1" s="621" t="s">
        <v>295</v>
      </c>
      <c r="AD1"/>
      <c r="AE1"/>
      <c r="AF1"/>
      <c r="AG1"/>
      <c r="AH1"/>
      <c r="AI1"/>
      <c r="AJ1"/>
    </row>
    <row r="2" spans="2:36" ht="15" customHeight="1" thickTop="1" thickBot="1" x14ac:dyDescent="0.25">
      <c r="B2" s="33"/>
      <c r="D2" s="34"/>
      <c r="F2" s="33"/>
      <c r="M2" s="34"/>
      <c r="O2" t="s">
        <v>76</v>
      </c>
      <c r="P2" s="2"/>
      <c r="Q2" s="2"/>
      <c r="R2" s="2"/>
      <c r="S2"/>
      <c r="T2"/>
      <c r="U2" s="2"/>
      <c r="V2" s="2"/>
      <c r="W2" s="2"/>
      <c r="X2"/>
      <c r="Y2"/>
      <c r="Z2" s="2" t="s">
        <v>289</v>
      </c>
      <c r="AA2" s="2">
        <f>C5</f>
        <v>583</v>
      </c>
      <c r="AB2" s="2">
        <v>0.29099999999999998</v>
      </c>
      <c r="AC2" s="621">
        <f>AA2*AB2</f>
        <v>169.65299999999999</v>
      </c>
      <c r="AD2"/>
      <c r="AE2"/>
      <c r="AF2"/>
      <c r="AG2"/>
      <c r="AH2"/>
      <c r="AI2"/>
      <c r="AJ2"/>
    </row>
    <row r="3" spans="2:36" ht="15" customHeight="1" thickBot="1" x14ac:dyDescent="0.25">
      <c r="B3" s="61" t="s">
        <v>81</v>
      </c>
      <c r="C3" s="57" t="s">
        <v>120</v>
      </c>
      <c r="D3" s="34"/>
      <c r="F3" s="33"/>
      <c r="G3" s="914" t="s">
        <v>47</v>
      </c>
      <c r="H3" s="915"/>
      <c r="K3" s="908" t="s">
        <v>58</v>
      </c>
      <c r="L3" s="909"/>
      <c r="M3" s="34"/>
      <c r="O3" s="43">
        <v>1000</v>
      </c>
      <c r="P3" s="17">
        <v>500</v>
      </c>
      <c r="Q3" s="17">
        <v>600</v>
      </c>
      <c r="R3" s="17">
        <v>660</v>
      </c>
      <c r="S3"/>
      <c r="T3" s="43">
        <v>1000</v>
      </c>
      <c r="U3" s="17">
        <v>496</v>
      </c>
      <c r="V3" s="17">
        <v>512</v>
      </c>
      <c r="W3" s="17">
        <v>552</v>
      </c>
      <c r="X3"/>
      <c r="Y3"/>
      <c r="Z3" s="4"/>
      <c r="AD3"/>
      <c r="AE3"/>
      <c r="AF3"/>
      <c r="AG3"/>
      <c r="AH3"/>
      <c r="AI3"/>
      <c r="AJ3"/>
    </row>
    <row r="4" spans="2:36" ht="15" customHeight="1" thickBot="1" x14ac:dyDescent="0.25">
      <c r="B4" s="33"/>
      <c r="D4" s="34"/>
      <c r="F4" s="33"/>
      <c r="M4" s="34"/>
      <c r="O4" s="15">
        <v>950</v>
      </c>
      <c r="P4" s="17">
        <v>450</v>
      </c>
      <c r="Q4" s="17">
        <v>530</v>
      </c>
      <c r="R4" s="17">
        <v>580</v>
      </c>
      <c r="S4"/>
      <c r="T4" s="15">
        <v>950</v>
      </c>
      <c r="U4" s="17">
        <v>476</v>
      </c>
      <c r="V4" s="17">
        <v>492</v>
      </c>
      <c r="W4" s="17">
        <v>529</v>
      </c>
      <c r="X4"/>
      <c r="Y4"/>
      <c r="Z4" s="4" t="s">
        <v>296</v>
      </c>
      <c r="AA4" s="2">
        <f>C7+C8</f>
        <v>180</v>
      </c>
      <c r="AB4" s="2">
        <v>0.41</v>
      </c>
      <c r="AC4" s="621">
        <f>AA4*AB4</f>
        <v>73.8</v>
      </c>
      <c r="AD4"/>
      <c r="AE4"/>
      <c r="AF4"/>
      <c r="AG4"/>
      <c r="AH4"/>
      <c r="AI4"/>
      <c r="AJ4"/>
    </row>
    <row r="5" spans="2:36" ht="15" customHeight="1" thickBot="1" x14ac:dyDescent="0.25">
      <c r="B5" s="62" t="s">
        <v>82</v>
      </c>
      <c r="C5" s="57">
        <v>583</v>
      </c>
      <c r="D5" s="44" t="s">
        <v>65</v>
      </c>
      <c r="F5" s="68" t="s">
        <v>75</v>
      </c>
      <c r="G5" s="5" t="s">
        <v>70</v>
      </c>
      <c r="H5" s="92">
        <v>105</v>
      </c>
      <c r="M5" s="34"/>
      <c r="O5" s="15">
        <v>900</v>
      </c>
      <c r="P5" s="17">
        <v>400</v>
      </c>
      <c r="Q5" s="17">
        <v>470</v>
      </c>
      <c r="R5" s="17">
        <v>510</v>
      </c>
      <c r="S5"/>
      <c r="T5" s="15">
        <v>900</v>
      </c>
      <c r="U5" s="17">
        <v>456</v>
      </c>
      <c r="V5" s="17">
        <v>472</v>
      </c>
      <c r="W5" s="17">
        <v>506</v>
      </c>
      <c r="X5"/>
      <c r="Y5"/>
      <c r="Z5" s="4" t="s">
        <v>155</v>
      </c>
      <c r="AA5" s="2">
        <f>C9+C10</f>
        <v>140</v>
      </c>
      <c r="AB5" s="2">
        <v>1.19</v>
      </c>
      <c r="AC5" s="621">
        <f>AA5*AB5</f>
        <v>166.6</v>
      </c>
      <c r="AD5"/>
      <c r="AE5"/>
      <c r="AF5"/>
      <c r="AG5"/>
      <c r="AH5"/>
      <c r="AI5"/>
      <c r="AJ5"/>
    </row>
    <row r="6" spans="2:36" ht="15" customHeight="1" thickBot="1" x14ac:dyDescent="0.25">
      <c r="B6" s="62"/>
      <c r="D6" s="44"/>
      <c r="F6" s="68" t="s">
        <v>74</v>
      </c>
      <c r="G6" s="5" t="s">
        <v>71</v>
      </c>
      <c r="H6" s="93">
        <v>75</v>
      </c>
      <c r="J6" s="5" t="s">
        <v>95</v>
      </c>
      <c r="K6" s="85" t="str">
        <f>IF(X44&lt;0,"G","D")</f>
        <v>G</v>
      </c>
      <c r="L6" s="86">
        <f>IF(X44&gt;0,X44,-X44)</f>
        <v>2.4999999999999991</v>
      </c>
      <c r="M6" s="34"/>
      <c r="O6" s="15">
        <v>850</v>
      </c>
      <c r="P6" s="17">
        <v>350</v>
      </c>
      <c r="Q6" s="17">
        <v>420</v>
      </c>
      <c r="R6" s="17">
        <v>450</v>
      </c>
      <c r="S6"/>
      <c r="T6" s="15">
        <v>850</v>
      </c>
      <c r="U6" s="17">
        <v>436</v>
      </c>
      <c r="V6" s="17">
        <v>452</v>
      </c>
      <c r="W6" s="17">
        <v>483</v>
      </c>
      <c r="X6"/>
      <c r="Y6"/>
      <c r="Z6" s="4" t="s">
        <v>86</v>
      </c>
      <c r="AA6" s="2">
        <f>C11</f>
        <v>6</v>
      </c>
      <c r="AB6" s="2">
        <v>1.9</v>
      </c>
      <c r="AC6" s="621">
        <f>AA6*AB6</f>
        <v>11.399999999999999</v>
      </c>
      <c r="AD6"/>
      <c r="AE6"/>
      <c r="AF6"/>
      <c r="AG6"/>
      <c r="AH6"/>
      <c r="AI6"/>
      <c r="AJ6"/>
    </row>
    <row r="7" spans="2:36" ht="15" customHeight="1" thickBot="1" x14ac:dyDescent="0.25">
      <c r="B7" s="62" t="s">
        <v>83</v>
      </c>
      <c r="C7" s="92">
        <v>95</v>
      </c>
      <c r="D7" s="44" t="s">
        <v>65</v>
      </c>
      <c r="F7" s="68" t="s">
        <v>69</v>
      </c>
      <c r="G7" s="5" t="s">
        <v>72</v>
      </c>
      <c r="H7" s="93">
        <v>5</v>
      </c>
      <c r="J7" s="5" t="s">
        <v>73</v>
      </c>
      <c r="K7" s="903">
        <f>X42</f>
        <v>-4.3301270189221945</v>
      </c>
      <c r="L7" s="904"/>
      <c r="M7" s="34"/>
      <c r="O7" s="15">
        <v>800</v>
      </c>
      <c r="P7" s="17">
        <v>310</v>
      </c>
      <c r="Q7" s="17">
        <v>360</v>
      </c>
      <c r="R7" s="17">
        <v>410</v>
      </c>
      <c r="S7"/>
      <c r="T7" s="15">
        <v>800</v>
      </c>
      <c r="U7" s="17">
        <v>416</v>
      </c>
      <c r="V7" s="17">
        <v>432</v>
      </c>
      <c r="W7" s="17">
        <v>460</v>
      </c>
      <c r="X7"/>
      <c r="Y7"/>
      <c r="Z7" s="4"/>
      <c r="AD7"/>
      <c r="AE7"/>
      <c r="AF7"/>
      <c r="AG7"/>
      <c r="AH7"/>
      <c r="AI7"/>
      <c r="AJ7"/>
    </row>
    <row r="8" spans="2:36" ht="15" customHeight="1" thickBot="1" x14ac:dyDescent="0.25">
      <c r="B8" s="62" t="s">
        <v>84</v>
      </c>
      <c r="C8" s="93">
        <v>85</v>
      </c>
      <c r="D8" s="44" t="s">
        <v>65</v>
      </c>
      <c r="F8" s="68" t="s">
        <v>65</v>
      </c>
      <c r="G8" s="5" t="s">
        <v>2</v>
      </c>
      <c r="H8" s="70">
        <f>C22</f>
        <v>987.98</v>
      </c>
      <c r="M8" s="34"/>
      <c r="O8"/>
      <c r="P8" s="2"/>
      <c r="Q8" s="2"/>
      <c r="R8" s="2"/>
      <c r="S8"/>
      <c r="T8"/>
      <c r="U8" s="2"/>
      <c r="V8" s="2"/>
      <c r="W8" s="2"/>
      <c r="X8"/>
      <c r="Y8"/>
      <c r="Z8" s="4" t="s">
        <v>291</v>
      </c>
      <c r="AA8" s="534">
        <f>C20</f>
        <v>78.97999999999999</v>
      </c>
      <c r="AB8" s="2">
        <v>1.1200000000000001</v>
      </c>
      <c r="AC8" s="621">
        <f>AA8*AB8</f>
        <v>88.457599999999999</v>
      </c>
      <c r="AD8"/>
      <c r="AE8"/>
      <c r="AF8"/>
      <c r="AG8"/>
      <c r="AH8"/>
      <c r="AI8"/>
      <c r="AJ8"/>
    </row>
    <row r="9" spans="2:36" ht="15" customHeight="1" thickBot="1" x14ac:dyDescent="0.25">
      <c r="B9" s="62" t="s">
        <v>85</v>
      </c>
      <c r="C9" s="93">
        <v>75</v>
      </c>
      <c r="D9" s="44" t="s">
        <v>65</v>
      </c>
      <c r="F9" s="68" t="s">
        <v>66</v>
      </c>
      <c r="G9" s="5" t="s">
        <v>7</v>
      </c>
      <c r="H9" s="93">
        <v>426</v>
      </c>
      <c r="I9" s="60" t="str">
        <f>IF(H9&gt;8000,"8000 ft max","")</f>
        <v/>
      </c>
      <c r="J9" s="5" t="s">
        <v>96</v>
      </c>
      <c r="K9" s="916">
        <f>IF(H11&gt;1013,H9-(H11-1013)*28,H9+(1013-H11)*28)</f>
        <v>426</v>
      </c>
      <c r="L9" s="917"/>
      <c r="M9" s="34"/>
      <c r="O9"/>
      <c r="P9" s="17">
        <f>IF(H8&lt;=850,(0.8*H8)-330,H8-500)</f>
        <v>487.98</v>
      </c>
      <c r="Q9" s="17">
        <f>IF(H8&lt;=850,(1.2*H8)-600,IF(H8&lt;=900,H8-430,IF(H8&lt;=950,(1.2*H8)-610,(1.4*H8)-800)))</f>
        <v>583.17200000000003</v>
      </c>
      <c r="R9" s="17">
        <f>IF(H8&lt;=850,(0.8*H8)-230,IF(H8&lt;=900,(1.2*H8)-570,IF(H8&lt;=950,(1.4*H8)-750,(1.6*H8)-940)))</f>
        <v>640.76800000000003</v>
      </c>
      <c r="S9"/>
      <c r="T9"/>
      <c r="U9" s="17">
        <f>96+(0.4*H8)</f>
        <v>491.19200000000001</v>
      </c>
      <c r="V9" s="17">
        <f>112+(0.4*H8)</f>
        <v>507.19200000000001</v>
      </c>
      <c r="W9" s="17">
        <f>92+(0.46*H8)</f>
        <v>546.47080000000005</v>
      </c>
      <c r="X9"/>
      <c r="Y9"/>
      <c r="Z9" s="4"/>
      <c r="AD9"/>
      <c r="AE9"/>
      <c r="AF9"/>
      <c r="AG9"/>
      <c r="AH9"/>
      <c r="AI9"/>
      <c r="AJ9"/>
    </row>
    <row r="10" spans="2:36" ht="15" customHeight="1" thickBot="1" x14ac:dyDescent="0.25">
      <c r="B10" s="62" t="s">
        <v>85</v>
      </c>
      <c r="C10" s="93">
        <v>65</v>
      </c>
      <c r="D10" s="44" t="s">
        <v>65</v>
      </c>
      <c r="F10" s="68" t="s">
        <v>67</v>
      </c>
      <c r="G10" s="5" t="s">
        <v>0</v>
      </c>
      <c r="H10" s="93">
        <v>32</v>
      </c>
      <c r="I10" s="60" t="str">
        <f>IF(H10&gt;35,"35° max","")</f>
        <v/>
      </c>
      <c r="M10" s="34"/>
      <c r="O10"/>
      <c r="P10" s="2"/>
      <c r="Q10" s="2"/>
      <c r="R10" s="2"/>
      <c r="S10"/>
      <c r="T10"/>
      <c r="U10" s="2"/>
      <c r="V10" s="2"/>
      <c r="W10" s="2"/>
      <c r="X10"/>
      <c r="Y10"/>
      <c r="Z10" s="4" t="s">
        <v>92</v>
      </c>
      <c r="AA10" s="2">
        <f>SUM(AA2:AA8)</f>
        <v>987.98</v>
      </c>
      <c r="AB10" s="47">
        <f>AC10/AA10</f>
        <v>0.51611429381161555</v>
      </c>
      <c r="AC10" s="621">
        <f>SUM(AC2:AC8)</f>
        <v>509.91059999999999</v>
      </c>
      <c r="AD10"/>
      <c r="AE10"/>
      <c r="AF10"/>
      <c r="AG10"/>
      <c r="AH10"/>
      <c r="AI10"/>
      <c r="AJ10"/>
    </row>
    <row r="11" spans="2:36" ht="15" customHeight="1" thickTop="1" thickBot="1" x14ac:dyDescent="0.25">
      <c r="B11" s="62" t="s">
        <v>86</v>
      </c>
      <c r="C11" s="94">
        <v>6</v>
      </c>
      <c r="D11" s="44" t="s">
        <v>65</v>
      </c>
      <c r="F11" s="68" t="s">
        <v>68</v>
      </c>
      <c r="G11" s="5" t="s">
        <v>8</v>
      </c>
      <c r="H11" s="93">
        <v>1013</v>
      </c>
      <c r="J11" s="43" t="s">
        <v>33</v>
      </c>
      <c r="K11" s="65" t="s">
        <v>57</v>
      </c>
      <c r="M11" s="34"/>
      <c r="O11">
        <v>4000</v>
      </c>
      <c r="P11" s="2"/>
      <c r="Q11" s="2"/>
      <c r="R11" s="2"/>
      <c r="S11"/>
      <c r="T11">
        <v>4000</v>
      </c>
      <c r="U11" s="2"/>
      <c r="V11" s="2"/>
      <c r="W11" s="2"/>
      <c r="X11"/>
      <c r="Y11"/>
      <c r="Z11" s="4"/>
      <c r="AD11"/>
      <c r="AE11"/>
      <c r="AF11"/>
      <c r="AG11"/>
      <c r="AH11"/>
      <c r="AI11"/>
      <c r="AJ11"/>
    </row>
    <row r="12" spans="2:36" ht="15" customHeight="1" thickBot="1" x14ac:dyDescent="0.25">
      <c r="B12" s="62"/>
      <c r="C12" s="58" t="s">
        <v>87</v>
      </c>
      <c r="D12" s="44" t="s">
        <v>88</v>
      </c>
      <c r="F12" s="68"/>
      <c r="G12" s="5" t="s">
        <v>16</v>
      </c>
      <c r="H12" s="95" t="s">
        <v>64</v>
      </c>
      <c r="I12" s="79" t="str">
        <f>IF(H12&lt;&gt;"d",IF(H12&lt;&gt;"h","choisissez d ou h",""),"")</f>
        <v/>
      </c>
      <c r="J12" s="43" t="s">
        <v>32</v>
      </c>
      <c r="K12" s="66" t="s">
        <v>64</v>
      </c>
      <c r="M12" s="34"/>
      <c r="O12"/>
      <c r="P12" s="2"/>
      <c r="Q12" s="2"/>
      <c r="R12" s="2"/>
      <c r="S12" t="s">
        <v>4</v>
      </c>
      <c r="T12"/>
      <c r="U12" s="2"/>
      <c r="V12" s="2"/>
      <c r="W12" s="2"/>
      <c r="X12"/>
      <c r="Y12"/>
      <c r="Z12" s="4"/>
      <c r="AA12" s="2" t="s">
        <v>304</v>
      </c>
      <c r="AB12" s="635">
        <f>(1121.076233*AB10)+520.1793722</f>
        <v>1098.7828405037812</v>
      </c>
      <c r="AD12"/>
      <c r="AE12"/>
      <c r="AF12"/>
      <c r="AG12"/>
      <c r="AH12"/>
      <c r="AI12"/>
      <c r="AJ12"/>
    </row>
    <row r="13" spans="2:36" ht="15" customHeight="1" thickTop="1" thickBot="1" x14ac:dyDescent="0.25">
      <c r="B13" s="62" t="s">
        <v>89</v>
      </c>
      <c r="C13" s="105">
        <v>110</v>
      </c>
      <c r="D13" s="59" t="str">
        <f>IF(C13&gt;110,"max 110 Li","")</f>
        <v/>
      </c>
      <c r="F13" s="68" t="s">
        <v>69</v>
      </c>
      <c r="G13" s="5" t="s">
        <v>22</v>
      </c>
      <c r="H13" s="108">
        <f>K7</f>
        <v>-4.3301270189221945</v>
      </c>
      <c r="M13" s="34"/>
      <c r="O13" s="43">
        <v>1000</v>
      </c>
      <c r="P13" s="17">
        <v>660</v>
      </c>
      <c r="Q13" s="17">
        <v>780</v>
      </c>
      <c r="R13" s="17">
        <v>910</v>
      </c>
      <c r="S13"/>
      <c r="T13" s="43">
        <v>1000</v>
      </c>
      <c r="U13" s="17">
        <v>524</v>
      </c>
      <c r="V13" s="17">
        <v>566</v>
      </c>
      <c r="W13" s="17">
        <v>613</v>
      </c>
      <c r="X13"/>
      <c r="Y13"/>
      <c r="Z13" s="4"/>
      <c r="AD13"/>
      <c r="AE13"/>
      <c r="AF13"/>
      <c r="AG13"/>
      <c r="AH13"/>
      <c r="AI13"/>
      <c r="AJ13"/>
    </row>
    <row r="14" spans="2:36" ht="15" customHeight="1" thickBot="1" x14ac:dyDescent="0.25">
      <c r="B14" s="62"/>
      <c r="C14" s="87"/>
      <c r="D14" s="59"/>
      <c r="F14" s="33"/>
      <c r="M14" s="34"/>
      <c r="O14" s="15">
        <v>950</v>
      </c>
      <c r="P14" s="17">
        <v>580</v>
      </c>
      <c r="Q14" s="17">
        <v>680</v>
      </c>
      <c r="R14" s="17">
        <v>800</v>
      </c>
      <c r="S14"/>
      <c r="T14" s="15">
        <v>950</v>
      </c>
      <c r="U14" s="17">
        <v>503</v>
      </c>
      <c r="V14" s="17">
        <v>542</v>
      </c>
      <c r="W14" s="17">
        <v>587</v>
      </c>
      <c r="X14"/>
      <c r="Y14"/>
      <c r="Z14" s="4"/>
      <c r="AB14" s="839" t="str">
        <f>IF(AB10&lt;0.205,"Hors Centrage avant",IF(AB10&gt;0.584,"Hors Centrage AR",IF(AB10&lt;0.428,IF(AA10&gt;AB12,"Hors Centrage AV","Centrage Correct"),"Centrage Correct")))</f>
        <v>Centrage Correct</v>
      </c>
      <c r="AC14" s="839"/>
      <c r="AD14"/>
      <c r="AE14"/>
      <c r="AF14"/>
      <c r="AG14"/>
      <c r="AH14"/>
      <c r="AI14"/>
      <c r="AJ14"/>
    </row>
    <row r="15" spans="2:36" ht="24.95" customHeight="1" thickBot="1" x14ac:dyDescent="0.25">
      <c r="B15" s="62"/>
      <c r="C15" s="87"/>
      <c r="D15" s="59"/>
      <c r="F15" s="918" t="s">
        <v>121</v>
      </c>
      <c r="G15" s="919"/>
      <c r="H15" s="919"/>
      <c r="I15" s="919"/>
      <c r="J15" s="919"/>
      <c r="K15" s="919"/>
      <c r="L15" s="919"/>
      <c r="M15" s="920"/>
      <c r="O15" s="15">
        <v>900</v>
      </c>
      <c r="P15" s="17">
        <v>510</v>
      </c>
      <c r="Q15" s="17">
        <v>610</v>
      </c>
      <c r="R15" s="17">
        <v>700</v>
      </c>
      <c r="S15"/>
      <c r="T15" s="15">
        <v>900</v>
      </c>
      <c r="U15" s="17">
        <v>482</v>
      </c>
      <c r="V15" s="17">
        <v>518</v>
      </c>
      <c r="W15" s="17">
        <v>561</v>
      </c>
      <c r="X15"/>
      <c r="Y15"/>
      <c r="Z15" s="4"/>
      <c r="AD15"/>
      <c r="AE15"/>
      <c r="AF15"/>
      <c r="AG15"/>
      <c r="AH15"/>
      <c r="AI15"/>
      <c r="AJ15"/>
    </row>
    <row r="16" spans="2:36" ht="15" customHeight="1" thickBot="1" x14ac:dyDescent="0.25">
      <c r="B16" s="62"/>
      <c r="C16" s="87"/>
      <c r="D16" s="59"/>
      <c r="F16" s="33"/>
      <c r="H16" s="106"/>
      <c r="I16" s="107" t="s">
        <v>97</v>
      </c>
      <c r="M16" s="34"/>
      <c r="O16" s="15">
        <v>850</v>
      </c>
      <c r="P16" s="17">
        <v>460</v>
      </c>
      <c r="Q16" s="17">
        <v>540</v>
      </c>
      <c r="R16" s="17">
        <v>620</v>
      </c>
      <c r="S16"/>
      <c r="T16" s="15">
        <v>850</v>
      </c>
      <c r="U16" s="17">
        <v>461</v>
      </c>
      <c r="V16" s="17">
        <v>494</v>
      </c>
      <c r="W16" s="17">
        <v>535</v>
      </c>
      <c r="X16"/>
      <c r="Y16"/>
      <c r="Z16" s="4"/>
      <c r="AD16"/>
      <c r="AE16"/>
      <c r="AF16"/>
      <c r="AG16"/>
      <c r="AH16"/>
      <c r="AI16"/>
      <c r="AJ16"/>
    </row>
    <row r="17" spans="2:36" ht="24.95" customHeight="1" thickBot="1" x14ac:dyDescent="0.25">
      <c r="B17" s="63" t="s">
        <v>92</v>
      </c>
      <c r="D17" s="44"/>
      <c r="F17" s="33"/>
      <c r="G17" s="35"/>
      <c r="H17" s="67" t="s">
        <v>98</v>
      </c>
      <c r="I17" s="81">
        <f>P39</f>
        <v>631.70275647119013</v>
      </c>
      <c r="J17" s="69" t="s">
        <v>48</v>
      </c>
      <c r="M17" s="34"/>
      <c r="O17" s="15">
        <v>800</v>
      </c>
      <c r="P17" s="17">
        <v>410</v>
      </c>
      <c r="Q17" s="17">
        <v>480</v>
      </c>
      <c r="R17" s="17">
        <v>540</v>
      </c>
      <c r="S17"/>
      <c r="T17" s="15">
        <v>800</v>
      </c>
      <c r="U17" s="17">
        <v>440</v>
      </c>
      <c r="V17" s="17">
        <v>470</v>
      </c>
      <c r="W17" s="17">
        <v>509</v>
      </c>
      <c r="X17"/>
      <c r="Y17"/>
      <c r="Z17" s="4"/>
      <c r="AD17"/>
      <c r="AE17"/>
      <c r="AF17"/>
      <c r="AG17"/>
      <c r="AH17"/>
      <c r="AI17"/>
      <c r="AJ17"/>
    </row>
    <row r="18" spans="2:36" ht="15" customHeight="1" thickBot="1" x14ac:dyDescent="0.25">
      <c r="B18" s="64" t="s">
        <v>87</v>
      </c>
      <c r="C18" s="57">
        <f>SUM(C13:C17)</f>
        <v>110</v>
      </c>
      <c r="D18" s="44" t="s">
        <v>88</v>
      </c>
      <c r="F18" s="33"/>
      <c r="M18" s="34"/>
      <c r="O18"/>
      <c r="P18" s="2"/>
      <c r="Q18" s="2"/>
      <c r="R18" s="2"/>
      <c r="S18"/>
      <c r="T18"/>
      <c r="U18" s="2"/>
      <c r="V18" s="2"/>
      <c r="W18" s="2"/>
      <c r="X18"/>
      <c r="Y18"/>
      <c r="Z18" s="4"/>
      <c r="AD18"/>
      <c r="AE18"/>
      <c r="AF18"/>
      <c r="AG18"/>
      <c r="AH18"/>
      <c r="AI18"/>
      <c r="AJ18"/>
    </row>
    <row r="19" spans="2:36" ht="24.95" customHeight="1" thickBot="1" x14ac:dyDescent="0.25">
      <c r="B19" s="63" t="s">
        <v>92</v>
      </c>
      <c r="D19" s="51"/>
      <c r="F19" s="918" t="s">
        <v>122</v>
      </c>
      <c r="G19" s="919"/>
      <c r="H19" s="919"/>
      <c r="I19" s="919"/>
      <c r="J19" s="919"/>
      <c r="K19" s="919"/>
      <c r="L19" s="919"/>
      <c r="M19" s="920"/>
      <c r="O19"/>
      <c r="P19" s="17">
        <f>IF(H8&lt;=900,H8-390,IF(H8&lt;=950,(1.4*H8)-750,(1.6*H8)-940))</f>
        <v>640.76800000000003</v>
      </c>
      <c r="Q19" s="17">
        <f>IF(H8&lt;=850,(1.2*H8)-480,IF(H8&lt;=950,(1.4*H8)-650,(2*H8)-1220))</f>
        <v>755.96</v>
      </c>
      <c r="R19" s="17">
        <f>IF(H8&lt;=900,(1.6*H8)-740,IF(H8&lt;=950,(2*H8)-1100,(2.2*H8)-1290))</f>
        <v>883.55600000000004</v>
      </c>
      <c r="S19"/>
      <c r="T19"/>
      <c r="U19" s="17">
        <f>104+(0.42*H8)</f>
        <v>518.95159999999998</v>
      </c>
      <c r="V19" s="17">
        <f>86+(0.48*H8)</f>
        <v>560.23039999999992</v>
      </c>
      <c r="W19" s="17">
        <f>93+(0.52*H8)</f>
        <v>606.74959999999999</v>
      </c>
      <c r="X19"/>
      <c r="Y19"/>
      <c r="Z19" s="4"/>
      <c r="AD19"/>
      <c r="AE19"/>
      <c r="AF19"/>
      <c r="AG19"/>
      <c r="AH19"/>
      <c r="AI19"/>
      <c r="AJ19"/>
    </row>
    <row r="20" spans="2:36" ht="15" customHeight="1" thickBot="1" x14ac:dyDescent="0.25">
      <c r="B20" s="64" t="s">
        <v>87</v>
      </c>
      <c r="C20" s="50">
        <f>C18*0.718</f>
        <v>78.97999999999999</v>
      </c>
      <c r="D20" s="55" t="s">
        <v>65</v>
      </c>
      <c r="F20" s="33"/>
      <c r="H20" s="98"/>
      <c r="I20" s="100" t="s">
        <v>99</v>
      </c>
      <c r="M20" s="34"/>
      <c r="O20"/>
      <c r="P20"/>
      <c r="Q20"/>
      <c r="R20"/>
      <c r="S20"/>
      <c r="T20"/>
      <c r="U20"/>
      <c r="V20"/>
      <c r="W20"/>
      <c r="X20"/>
      <c r="Y20"/>
      <c r="Z20" s="4"/>
      <c r="AD20"/>
      <c r="AE20"/>
      <c r="AF20"/>
      <c r="AG20"/>
      <c r="AH20"/>
      <c r="AI20"/>
      <c r="AJ20"/>
    </row>
    <row r="21" spans="2:36" ht="15" customHeight="1" thickBot="1" x14ac:dyDescent="0.25">
      <c r="B21" s="62"/>
      <c r="D21" s="51"/>
      <c r="F21" s="33"/>
      <c r="H21" s="99"/>
      <c r="I21" s="101" t="s">
        <v>101</v>
      </c>
      <c r="M21" s="34"/>
      <c r="O21">
        <v>8000</v>
      </c>
      <c r="P21"/>
      <c r="Q21"/>
      <c r="R21"/>
      <c r="S21"/>
      <c r="T21">
        <v>8000</v>
      </c>
      <c r="U21"/>
      <c r="V21"/>
      <c r="W21"/>
      <c r="X21"/>
      <c r="Y21"/>
      <c r="Z21" s="4"/>
      <c r="AD21"/>
      <c r="AE21"/>
      <c r="AF21"/>
      <c r="AG21"/>
      <c r="AH21"/>
      <c r="AI21"/>
      <c r="AJ21"/>
    </row>
    <row r="22" spans="2:36" ht="15" customHeight="1" thickBot="1" x14ac:dyDescent="0.25">
      <c r="B22" s="64" t="s">
        <v>93</v>
      </c>
      <c r="C22" s="50">
        <f>C5+SUM(C7:C11)+C20</f>
        <v>987.98</v>
      </c>
      <c r="D22" s="55" t="s">
        <v>65</v>
      </c>
      <c r="F22" s="33"/>
      <c r="H22" s="99"/>
      <c r="I22" s="102" t="s">
        <v>103</v>
      </c>
      <c r="M22" s="34"/>
      <c r="O22"/>
      <c r="P22"/>
      <c r="Q22"/>
      <c r="R22"/>
      <c r="S22"/>
      <c r="T22"/>
      <c r="U22"/>
      <c r="V22"/>
      <c r="W22"/>
      <c r="X22"/>
      <c r="Y22"/>
      <c r="Z22" s="4"/>
      <c r="AD22"/>
      <c r="AE22"/>
      <c r="AF22"/>
      <c r="AG22"/>
      <c r="AH22"/>
      <c r="AI22"/>
      <c r="AJ22"/>
    </row>
    <row r="23" spans="2:36" ht="24.95" customHeight="1" thickBot="1" x14ac:dyDescent="0.25">
      <c r="B23" s="33"/>
      <c r="C23" s="60" t="str">
        <f>IF(C22&gt;1000,"max 1000 Kg","")</f>
        <v/>
      </c>
      <c r="D23" s="34"/>
      <c r="F23" s="97"/>
      <c r="G23" s="966" t="s">
        <v>104</v>
      </c>
      <c r="H23" s="967"/>
      <c r="I23" s="81">
        <f>U39</f>
        <v>589.18472847765634</v>
      </c>
      <c r="J23" s="69" t="s">
        <v>48</v>
      </c>
      <c r="M23" s="34"/>
      <c r="O23" s="43">
        <v>1000</v>
      </c>
      <c r="P23" s="9">
        <v>900</v>
      </c>
      <c r="Q23" s="9">
        <v>1100</v>
      </c>
      <c r="R23" s="9">
        <v>1250</v>
      </c>
      <c r="S23"/>
      <c r="T23" s="43">
        <v>1000</v>
      </c>
      <c r="U23" s="9">
        <v>572</v>
      </c>
      <c r="V23" s="9">
        <v>625</v>
      </c>
      <c r="W23" s="9">
        <v>671</v>
      </c>
      <c r="X23"/>
      <c r="Y23"/>
      <c r="Z23" s="4"/>
      <c r="AD23"/>
      <c r="AE23"/>
      <c r="AF23"/>
      <c r="AG23"/>
      <c r="AH23"/>
      <c r="AI23"/>
      <c r="AJ23"/>
    </row>
    <row r="24" spans="2:36" ht="15" customHeight="1" thickBot="1" x14ac:dyDescent="0.25">
      <c r="B24" s="395" t="s">
        <v>287</v>
      </c>
      <c r="C24" s="629">
        <f>AB10</f>
        <v>0.51611429381161555</v>
      </c>
      <c r="D24" s="636" t="s">
        <v>170</v>
      </c>
      <c r="F24" s="33"/>
      <c r="M24" s="34"/>
      <c r="O24" s="15">
        <v>950</v>
      </c>
      <c r="P24" s="9">
        <v>790</v>
      </c>
      <c r="Q24" s="9">
        <v>970</v>
      </c>
      <c r="R24" s="9">
        <v>1090</v>
      </c>
      <c r="S24"/>
      <c r="T24" s="15">
        <v>950</v>
      </c>
      <c r="U24" s="9">
        <v>548</v>
      </c>
      <c r="V24" s="9">
        <v>599</v>
      </c>
      <c r="W24" s="9">
        <v>644</v>
      </c>
      <c r="X24"/>
      <c r="Y24"/>
      <c r="Z24" s="4"/>
      <c r="AD24"/>
      <c r="AE24"/>
      <c r="AF24"/>
      <c r="AG24"/>
      <c r="AH24"/>
      <c r="AI24"/>
      <c r="AJ24"/>
    </row>
    <row r="25" spans="2:36" ht="24.95" customHeight="1" thickBot="1" x14ac:dyDescent="0.25">
      <c r="B25" s="688"/>
      <c r="C25" s="690" t="str">
        <f>AB14</f>
        <v>Centrage Correct</v>
      </c>
      <c r="D25" s="689"/>
      <c r="F25" s="104"/>
      <c r="G25" s="99"/>
      <c r="H25" s="103"/>
      <c r="I25" s="103"/>
      <c r="J25" s="69"/>
      <c r="M25" s="34"/>
      <c r="O25" s="15">
        <v>900</v>
      </c>
      <c r="P25" s="9">
        <v>700</v>
      </c>
      <c r="Q25" s="9">
        <v>850</v>
      </c>
      <c r="R25" s="9">
        <v>960</v>
      </c>
      <c r="S25"/>
      <c r="T25" s="15">
        <v>900</v>
      </c>
      <c r="U25" s="9">
        <v>524</v>
      </c>
      <c r="V25" s="9">
        <v>573</v>
      </c>
      <c r="W25" s="9">
        <v>617</v>
      </c>
      <c r="X25"/>
      <c r="Y25"/>
      <c r="Z25" s="4"/>
      <c r="AD25"/>
      <c r="AE25"/>
      <c r="AF25"/>
      <c r="AG25"/>
      <c r="AH25"/>
      <c r="AI25"/>
      <c r="AJ25"/>
    </row>
    <row r="26" spans="2:36" ht="15" customHeight="1" thickTop="1" thickBot="1" x14ac:dyDescent="0.25">
      <c r="F26" s="52"/>
      <c r="G26" s="53"/>
      <c r="H26" s="53"/>
      <c r="I26" s="53"/>
      <c r="J26" s="53"/>
      <c r="K26" s="53"/>
      <c r="L26" s="53"/>
      <c r="M26" s="54"/>
      <c r="O26" s="15">
        <v>850</v>
      </c>
      <c r="P26" s="9">
        <v>620</v>
      </c>
      <c r="Q26" s="9">
        <v>740</v>
      </c>
      <c r="R26" s="9">
        <v>840</v>
      </c>
      <c r="S26"/>
      <c r="T26" s="15">
        <v>850</v>
      </c>
      <c r="U26" s="9">
        <v>500</v>
      </c>
      <c r="V26" s="9">
        <v>547</v>
      </c>
      <c r="W26" s="9">
        <v>590</v>
      </c>
      <c r="X26"/>
      <c r="Y26"/>
      <c r="Z26" s="4"/>
      <c r="AD26"/>
      <c r="AE26"/>
      <c r="AF26"/>
      <c r="AG26"/>
      <c r="AH26"/>
      <c r="AI26"/>
      <c r="AJ26"/>
    </row>
    <row r="27" spans="2:36" ht="15" customHeight="1" thickTop="1" x14ac:dyDescent="0.2">
      <c r="O27" s="15">
        <v>800</v>
      </c>
      <c r="P27" s="9">
        <v>540</v>
      </c>
      <c r="Q27" s="9">
        <v>640</v>
      </c>
      <c r="R27" s="9">
        <v>730</v>
      </c>
      <c r="S27"/>
      <c r="T27" s="15">
        <v>800</v>
      </c>
      <c r="U27" s="9">
        <v>476</v>
      </c>
      <c r="V27" s="9">
        <v>521</v>
      </c>
      <c r="W27" s="9">
        <v>563</v>
      </c>
      <c r="X27"/>
      <c r="Y27"/>
      <c r="Z27" s="4"/>
      <c r="AD27"/>
      <c r="AE27"/>
      <c r="AF27"/>
      <c r="AG27"/>
      <c r="AH27"/>
      <c r="AI27"/>
      <c r="AJ27"/>
    </row>
    <row r="28" spans="2:36" ht="15" customHeight="1" x14ac:dyDescent="0.2">
      <c r="O28"/>
      <c r="P28"/>
      <c r="Q28"/>
      <c r="R28"/>
      <c r="S28"/>
      <c r="T28"/>
      <c r="U28"/>
      <c r="V28"/>
      <c r="W28"/>
      <c r="X28"/>
      <c r="Y28"/>
      <c r="Z28" s="4"/>
      <c r="AD28"/>
      <c r="AE28"/>
      <c r="AF28"/>
      <c r="AG28"/>
      <c r="AH28"/>
      <c r="AI28"/>
      <c r="AJ28"/>
    </row>
    <row r="29" spans="2:36" ht="15" customHeight="1" x14ac:dyDescent="0.2">
      <c r="O29"/>
      <c r="P29" s="9">
        <f>IF(H8&lt;=900,(1.6*H8)-740,IF(H8&lt;=950,(1.8*H8)-920,(2.2*H8)-1300))</f>
        <v>873.55600000000004</v>
      </c>
      <c r="Q29" s="9">
        <f>IF(H8&lt;=850,(2*H8)-960,IF(H8&lt;=900,(2.2*H8)-1130,IF(H8&lt;=950,(2.4*H8)-1310,(2.6*H8)-1500)))</f>
        <v>1068.748</v>
      </c>
      <c r="R29" s="9">
        <f>IF(H8&lt;=850,(2.2*H8)-1030,IF(H8&lt;=900,(2.4*H8)-1200,IF(H8&lt;=950,(2.6*H8)-1380,(3.2*H8)-1950)))</f>
        <v>1211.5360000000001</v>
      </c>
      <c r="S29"/>
      <c r="T29"/>
      <c r="U29" s="9">
        <f>92+(0.48*H8)</f>
        <v>566.23039999999992</v>
      </c>
      <c r="V29" s="9">
        <f>105+(0.52*H8)</f>
        <v>618.74959999999999</v>
      </c>
      <c r="W29" s="9">
        <f>131+(0.54*H8)</f>
        <v>664.50920000000008</v>
      </c>
      <c r="X29"/>
      <c r="Y29"/>
      <c r="Z29" s="4"/>
      <c r="AD29"/>
      <c r="AE29"/>
      <c r="AF29"/>
      <c r="AG29"/>
      <c r="AH29"/>
      <c r="AI29"/>
      <c r="AJ29"/>
    </row>
    <row r="30" spans="2:36" ht="15" customHeight="1" x14ac:dyDescent="0.2">
      <c r="O30"/>
      <c r="P30"/>
      <c r="Q30"/>
      <c r="R30"/>
      <c r="S30"/>
      <c r="T30"/>
      <c r="U30"/>
      <c r="V30"/>
      <c r="W30"/>
      <c r="X30"/>
      <c r="Y30"/>
      <c r="Z30" s="4"/>
      <c r="AD30"/>
      <c r="AE30"/>
      <c r="AF30"/>
      <c r="AG30"/>
      <c r="AH30"/>
      <c r="AI30"/>
      <c r="AJ30"/>
    </row>
    <row r="31" spans="2:36" ht="15" customHeight="1" x14ac:dyDescent="0.2">
      <c r="I31" s="488"/>
      <c r="O31" s="1" t="s">
        <v>23</v>
      </c>
      <c r="P31" s="3">
        <f>IF(K9&lt;=4000,P9+(P19-P9)/4000*K9,P19+((P29-P19)/4000)*(K9-4000))</f>
        <v>504.25192200000004</v>
      </c>
      <c r="Q31" s="3">
        <f>IF(K9&lt;=4000,Q9+(Q19-Q9)/4000*K9,Q19+(Q29-Q19)/4000*(K9-4000))</f>
        <v>601.57392200000004</v>
      </c>
      <c r="R31" s="3">
        <f>IF(K9&lt;=4000,R9+(R19-R9)/4000*K9,R19+(R29-R19)/4000*(K9-4000))</f>
        <v>666.62492200000008</v>
      </c>
      <c r="T31" s="1" t="s">
        <v>23</v>
      </c>
      <c r="U31" s="3">
        <f>IF(K9&lt;=4000,U9+(U19-U9)/4000*K9,U19+((U29-U19)/4000)*(K9-4000))</f>
        <v>494.14839740000002</v>
      </c>
      <c r="V31" s="3">
        <f>IF(K9&lt;=4000,V9+(V19-V9)/4000*K9,V19+(V29-V19)/4000*(K9-4000))</f>
        <v>512.84058960000004</v>
      </c>
      <c r="W31" s="3">
        <f>IF(K9&lt;=4000,W9+(W19-W9)/4000*K9,W19+(W29-W19)/4000*(K9-4000))</f>
        <v>552.89049220000004</v>
      </c>
      <c r="X31"/>
      <c r="Y31"/>
      <c r="Z31" s="4"/>
      <c r="AD31"/>
      <c r="AE31"/>
      <c r="AF31"/>
      <c r="AG31"/>
      <c r="AH31"/>
      <c r="AI31"/>
      <c r="AJ31"/>
    </row>
    <row r="32" spans="2:36" ht="15" customHeight="1" x14ac:dyDescent="0.2">
      <c r="O32"/>
      <c r="P32"/>
      <c r="Q32"/>
      <c r="R32"/>
      <c r="S32"/>
      <c r="T32"/>
      <c r="U32"/>
      <c r="V32"/>
      <c r="W32"/>
      <c r="X32"/>
      <c r="Y32"/>
      <c r="Z32" s="4"/>
      <c r="AD32"/>
      <c r="AE32"/>
      <c r="AF32"/>
      <c r="AG32"/>
      <c r="AH32"/>
      <c r="AI32"/>
      <c r="AJ32"/>
    </row>
    <row r="33" spans="15:36" ht="15" customHeight="1" x14ac:dyDescent="0.2">
      <c r="O33" s="43" t="s">
        <v>14</v>
      </c>
      <c r="P33" s="485">
        <f>15-(H9/1000*2)</f>
        <v>14.148</v>
      </c>
      <c r="Q33" s="43" t="s">
        <v>31</v>
      </c>
      <c r="R33" s="486">
        <f>H10</f>
        <v>32</v>
      </c>
      <c r="T33" s="43" t="s">
        <v>14</v>
      </c>
      <c r="U33" s="485">
        <f>15-(H9/1000*2)</f>
        <v>14.148</v>
      </c>
      <c r="V33" s="43" t="s">
        <v>31</v>
      </c>
      <c r="W33" s="486">
        <f>H10</f>
        <v>32</v>
      </c>
      <c r="X33"/>
      <c r="Y33"/>
      <c r="Z33" s="4"/>
      <c r="AD33"/>
      <c r="AE33"/>
      <c r="AF33"/>
      <c r="AG33"/>
      <c r="AH33"/>
      <c r="AI33"/>
      <c r="AJ33"/>
    </row>
    <row r="34" spans="15:36" ht="15" customHeight="1" x14ac:dyDescent="0.2">
      <c r="O34"/>
      <c r="P34"/>
      <c r="Q34"/>
      <c r="R34"/>
      <c r="S34"/>
      <c r="T34"/>
      <c r="U34"/>
      <c r="V34"/>
      <c r="W34"/>
      <c r="X34"/>
      <c r="Y34"/>
      <c r="Z34" s="4"/>
      <c r="AD34"/>
      <c r="AE34"/>
      <c r="AF34"/>
      <c r="AG34"/>
      <c r="AH34"/>
      <c r="AI34"/>
      <c r="AJ34"/>
    </row>
    <row r="35" spans="15:36" ht="15" customHeight="1" x14ac:dyDescent="0.2">
      <c r="O35" t="s">
        <v>24</v>
      </c>
      <c r="P35" s="487">
        <f>IF(R33&gt;=P33,Q31+(R31-Q31)/20*(R33-P33),Q31-(Q31-P31)/20*(P33-R33))</f>
        <v>659.63844460000007</v>
      </c>
      <c r="Q35"/>
      <c r="R35" s="489"/>
      <c r="S35"/>
      <c r="T35" t="s">
        <v>24</v>
      </c>
      <c r="U35" s="487">
        <f>IF(W33&gt;=U33,V31+(W31-V31)/20*(W33-U33),V31-(V31-U31)/20*(U33-W33))</f>
        <v>548.58913266076001</v>
      </c>
      <c r="V35"/>
      <c r="W35"/>
      <c r="X35"/>
      <c r="Y35"/>
      <c r="Z35" s="4"/>
      <c r="AD35"/>
      <c r="AE35"/>
      <c r="AF35"/>
      <c r="AG35"/>
      <c r="AH35"/>
      <c r="AI35"/>
      <c r="AJ35"/>
    </row>
    <row r="36" spans="15:36" ht="15" customHeight="1" thickBot="1" x14ac:dyDescent="0.25">
      <c r="O36"/>
      <c r="P36"/>
      <c r="Q36"/>
      <c r="R36" s="490">
        <f>H13</f>
        <v>-4.3301270189221945</v>
      </c>
      <c r="S36"/>
      <c r="T36"/>
      <c r="U36"/>
      <c r="V36"/>
      <c r="W36"/>
      <c r="X36"/>
      <c r="Y36"/>
      <c r="Z36" s="4"/>
      <c r="AD36"/>
      <c r="AE36"/>
      <c r="AF36"/>
      <c r="AG36"/>
      <c r="AH36"/>
      <c r="AI36"/>
      <c r="AJ36"/>
    </row>
    <row r="37" spans="15:36" ht="15" customHeight="1" thickBot="1" x14ac:dyDescent="0.25">
      <c r="O37" s="2" t="s">
        <v>26</v>
      </c>
      <c r="P37" s="392">
        <f>IF(H13&gt;=-10,(1-0.021*R37)*P35,IF(H13&gt;=-20,(0.935-0.0145*R37)*P35,(0.865-0.011*R37)*P35))</f>
        <v>590.37640791700005</v>
      </c>
      <c r="Q37" s="2"/>
      <c r="R37" s="491">
        <f>-INT(H13)</f>
        <v>5</v>
      </c>
      <c r="S37" s="2"/>
      <c r="T37" s="2" t="s">
        <v>26</v>
      </c>
      <c r="U37" s="392">
        <f>IF(H13&gt;=-10,(1-0.021*R37)*U35,IF(H13&gt;=-20,(0.935-0.0145*R37)*U35,(0.935-0.0145*R37)*U35))</f>
        <v>490.98727373138024</v>
      </c>
      <c r="V37" s="2"/>
      <c r="W37" s="2"/>
      <c r="X37"/>
      <c r="Y37"/>
      <c r="Z37" s="4"/>
      <c r="AD37"/>
      <c r="AE37"/>
      <c r="AF37"/>
      <c r="AG37"/>
      <c r="AH37"/>
      <c r="AI37"/>
      <c r="AJ37"/>
    </row>
    <row r="38" spans="15:36" ht="15" customHeight="1" x14ac:dyDescent="0.2">
      <c r="O38" s="2"/>
      <c r="P38" s="2"/>
      <c r="Q38" s="2"/>
      <c r="R38" s="2"/>
      <c r="S38" s="2"/>
      <c r="T38" s="2"/>
      <c r="U38" s="2"/>
      <c r="V38" s="2"/>
      <c r="W38" s="2"/>
      <c r="X38"/>
      <c r="Y38"/>
      <c r="Z38" s="4"/>
      <c r="AD38"/>
      <c r="AE38"/>
      <c r="AF38"/>
      <c r="AG38"/>
      <c r="AH38"/>
      <c r="AI38"/>
      <c r="AJ38"/>
    </row>
    <row r="39" spans="15:36" ht="15" customHeight="1" x14ac:dyDescent="0.2">
      <c r="O39" s="2" t="s">
        <v>79</v>
      </c>
      <c r="P39" s="17">
        <f>IF(I12="d",P37,P37*107/100)</f>
        <v>631.70275647119013</v>
      </c>
      <c r="Q39" s="2"/>
      <c r="R39" s="2"/>
      <c r="S39" s="2"/>
      <c r="T39" s="2" t="s">
        <v>79</v>
      </c>
      <c r="U39" s="17">
        <f>IF(I12="d",U37,U37*120/100)</f>
        <v>589.18472847765634</v>
      </c>
      <c r="V39" s="2"/>
      <c r="W39" s="2"/>
      <c r="X39"/>
      <c r="Y39"/>
      <c r="Z39" s="4"/>
      <c r="AD39"/>
      <c r="AE39"/>
      <c r="AF39"/>
      <c r="AG39"/>
      <c r="AH39"/>
      <c r="AI39"/>
      <c r="AJ39"/>
    </row>
    <row r="40" spans="15:36" ht="15" customHeight="1" x14ac:dyDescent="0.2">
      <c r="O40" s="2"/>
      <c r="P40" s="2"/>
      <c r="Q40" s="2"/>
      <c r="R40" s="2"/>
      <c r="S40" s="2"/>
      <c r="T40" s="2"/>
      <c r="U40" s="2"/>
      <c r="V40" s="2"/>
      <c r="W40" s="2"/>
      <c r="X40"/>
      <c r="Y40"/>
      <c r="Z40" s="4"/>
      <c r="AD40"/>
      <c r="AE40"/>
      <c r="AF40"/>
      <c r="AG40"/>
      <c r="AH40"/>
      <c r="AI40"/>
      <c r="AJ40"/>
    </row>
    <row r="41" spans="15:36" ht="15" customHeight="1" x14ac:dyDescent="0.2">
      <c r="O41" s="1" t="s">
        <v>108</v>
      </c>
      <c r="Y41"/>
      <c r="Z41" s="4"/>
      <c r="AD41"/>
      <c r="AE41"/>
      <c r="AF41"/>
      <c r="AG41"/>
      <c r="AH41"/>
      <c r="AI41"/>
      <c r="AJ41"/>
    </row>
    <row r="42" spans="15:36" ht="15" customHeight="1" x14ac:dyDescent="0.2">
      <c r="O42" s="83" t="s">
        <v>109</v>
      </c>
      <c r="P42" s="3">
        <f>H6</f>
        <v>75</v>
      </c>
      <c r="R42" s="3">
        <f>RADIANS(P42)</f>
        <v>1.3089969389957472</v>
      </c>
      <c r="T42" s="1" t="s">
        <v>111</v>
      </c>
      <c r="U42" s="3">
        <f>RADIANS(270)-R42</f>
        <v>3.4033920413889422</v>
      </c>
      <c r="W42" s="1" t="s">
        <v>113</v>
      </c>
      <c r="X42" s="3">
        <f>P43*(COS(U42)*COS(U44)+SIN(U42)*SIN(U44))</f>
        <v>-4.3301270189221945</v>
      </c>
      <c r="Y42"/>
      <c r="Z42" s="4"/>
      <c r="AD42"/>
      <c r="AE42"/>
      <c r="AF42"/>
      <c r="AG42"/>
      <c r="AH42"/>
      <c r="AI42"/>
      <c r="AJ42"/>
    </row>
    <row r="43" spans="15:36" ht="15" customHeight="1" x14ac:dyDescent="0.2">
      <c r="O43" s="83" t="s">
        <v>110</v>
      </c>
      <c r="P43" s="3">
        <f>H7</f>
        <v>5</v>
      </c>
      <c r="Y43"/>
      <c r="Z43" s="4"/>
      <c r="AD43"/>
      <c r="AE43"/>
      <c r="AF43"/>
      <c r="AG43"/>
      <c r="AH43"/>
      <c r="AI43"/>
      <c r="AJ43"/>
    </row>
    <row r="44" spans="15:36" ht="15" customHeight="1" x14ac:dyDescent="0.2">
      <c r="O44" s="83" t="s">
        <v>70</v>
      </c>
      <c r="P44" s="3">
        <f>H5</f>
        <v>105</v>
      </c>
      <c r="R44" s="3">
        <f>RADIANS(P44)</f>
        <v>1.8325957145940461</v>
      </c>
      <c r="T44" s="1" t="s">
        <v>112</v>
      </c>
      <c r="U44" s="3">
        <f>RADIANS(90)-R44</f>
        <v>-0.26179938779914957</v>
      </c>
      <c r="W44" s="1" t="s">
        <v>114</v>
      </c>
      <c r="X44" s="84">
        <f>P43*(SIN(U42)*COS(U44)-COS(U42)*SIN(U44))</f>
        <v>-2.4999999999999991</v>
      </c>
      <c r="Y44"/>
      <c r="Z44" s="4"/>
      <c r="AD44"/>
      <c r="AE44"/>
      <c r="AF44"/>
      <c r="AG44"/>
      <c r="AH44"/>
      <c r="AI44"/>
      <c r="AJ44"/>
    </row>
    <row r="45" spans="15:36" ht="15" customHeight="1" x14ac:dyDescent="0.2">
      <c r="O45"/>
      <c r="P45"/>
      <c r="Q45"/>
      <c r="R45"/>
      <c r="S45"/>
      <c r="T45"/>
      <c r="U45"/>
      <c r="V45"/>
      <c r="W45"/>
      <c r="X45"/>
      <c r="Y45"/>
      <c r="Z45" s="4"/>
      <c r="AD45"/>
      <c r="AE45"/>
      <c r="AF45"/>
      <c r="AG45"/>
      <c r="AH45"/>
      <c r="AI45"/>
      <c r="AJ45"/>
    </row>
    <row r="46" spans="15:36" ht="15" customHeight="1" x14ac:dyDescent="0.2">
      <c r="O46"/>
      <c r="P46"/>
      <c r="Q46"/>
      <c r="R46"/>
      <c r="S46"/>
      <c r="T46"/>
      <c r="U46"/>
      <c r="V46"/>
      <c r="W46"/>
      <c r="X46"/>
      <c r="Y46"/>
      <c r="Z46" s="4"/>
      <c r="AD46"/>
      <c r="AE46"/>
      <c r="AF46"/>
      <c r="AG46"/>
      <c r="AH46"/>
      <c r="AI46"/>
      <c r="AJ46"/>
    </row>
    <row r="47" spans="15:36" ht="15" customHeight="1" x14ac:dyDescent="0.2">
      <c r="O47"/>
      <c r="P47"/>
      <c r="Q47"/>
      <c r="R47"/>
      <c r="S47"/>
      <c r="T47"/>
      <c r="U47"/>
      <c r="V47"/>
      <c r="W47"/>
      <c r="X47"/>
      <c r="Y47"/>
      <c r="Z47" s="4"/>
      <c r="AD47"/>
      <c r="AE47"/>
      <c r="AF47"/>
      <c r="AG47"/>
      <c r="AH47"/>
      <c r="AI47"/>
      <c r="AJ47"/>
    </row>
    <row r="48" spans="15:36" ht="15" customHeight="1" x14ac:dyDescent="0.2">
      <c r="O48"/>
      <c r="P48"/>
      <c r="Q48"/>
      <c r="R48"/>
      <c r="S48"/>
      <c r="T48"/>
      <c r="U48"/>
      <c r="V48"/>
      <c r="W48"/>
      <c r="X48"/>
      <c r="Y48"/>
      <c r="Z48" s="4"/>
      <c r="AD48"/>
      <c r="AE48"/>
      <c r="AF48"/>
      <c r="AG48"/>
      <c r="AH48"/>
      <c r="AI48"/>
      <c r="AJ48"/>
    </row>
    <row r="49" spans="15:36" ht="15" customHeight="1" x14ac:dyDescent="0.2">
      <c r="O49"/>
      <c r="P49"/>
      <c r="Q49"/>
      <c r="R49"/>
      <c r="S49"/>
      <c r="T49"/>
      <c r="U49"/>
      <c r="V49"/>
      <c r="W49"/>
      <c r="X49"/>
      <c r="Y49"/>
      <c r="Z49" s="4"/>
      <c r="AD49"/>
      <c r="AE49"/>
      <c r="AF49"/>
      <c r="AG49"/>
      <c r="AH49"/>
      <c r="AI49"/>
      <c r="AJ49"/>
    </row>
    <row r="50" spans="15:36" ht="15" customHeight="1" x14ac:dyDescent="0.2">
      <c r="O50"/>
      <c r="P50"/>
      <c r="Q50"/>
      <c r="R50"/>
      <c r="S50"/>
      <c r="T50"/>
      <c r="U50"/>
      <c r="V50"/>
      <c r="W50"/>
      <c r="X50"/>
      <c r="Y50"/>
      <c r="Z50" s="4"/>
      <c r="AD50"/>
      <c r="AE50"/>
      <c r="AF50"/>
      <c r="AG50"/>
      <c r="AH50"/>
      <c r="AI50"/>
      <c r="AJ50"/>
    </row>
    <row r="51" spans="15:36" ht="15" customHeight="1" x14ac:dyDescent="0.2">
      <c r="O51"/>
      <c r="P51"/>
      <c r="Q51"/>
      <c r="R51"/>
      <c r="S51"/>
      <c r="T51"/>
      <c r="U51"/>
      <c r="V51"/>
      <c r="W51"/>
      <c r="X51"/>
      <c r="Y51"/>
      <c r="Z51" s="4"/>
      <c r="AD51"/>
      <c r="AE51"/>
      <c r="AF51"/>
      <c r="AG51"/>
      <c r="AH51"/>
      <c r="AI51"/>
      <c r="AJ51"/>
    </row>
    <row r="52" spans="15:36" ht="15" customHeight="1" x14ac:dyDescent="0.2">
      <c r="O52"/>
      <c r="P52"/>
      <c r="Q52"/>
      <c r="R52"/>
      <c r="S52"/>
      <c r="T52"/>
      <c r="U52"/>
      <c r="V52"/>
      <c r="W52"/>
      <c r="X52"/>
      <c r="Y52"/>
      <c r="Z52" s="4"/>
      <c r="AD52"/>
      <c r="AE52"/>
      <c r="AF52"/>
      <c r="AG52"/>
      <c r="AH52"/>
      <c r="AI52"/>
      <c r="AJ52"/>
    </row>
    <row r="53" spans="15:36" ht="15" customHeight="1" x14ac:dyDescent="0.2">
      <c r="O53"/>
      <c r="P53"/>
      <c r="Q53"/>
      <c r="R53"/>
      <c r="S53"/>
      <c r="T53"/>
      <c r="U53"/>
      <c r="V53"/>
      <c r="W53"/>
      <c r="X53"/>
      <c r="Y53"/>
      <c r="Z53" s="4"/>
      <c r="AD53"/>
      <c r="AE53"/>
      <c r="AF53"/>
      <c r="AG53"/>
      <c r="AH53"/>
      <c r="AI53"/>
      <c r="AJ53"/>
    </row>
    <row r="54" spans="15:36" ht="15" customHeight="1" x14ac:dyDescent="0.2">
      <c r="O54"/>
      <c r="P54"/>
      <c r="Q54"/>
      <c r="R54"/>
      <c r="S54"/>
      <c r="T54"/>
      <c r="U54"/>
      <c r="V54"/>
      <c r="W54"/>
      <c r="X54"/>
      <c r="Y54"/>
      <c r="Z54" s="4"/>
      <c r="AD54"/>
      <c r="AE54"/>
      <c r="AF54"/>
      <c r="AG54"/>
      <c r="AH54"/>
      <c r="AI54"/>
      <c r="AJ54"/>
    </row>
    <row r="55" spans="15:36" ht="15" customHeight="1" x14ac:dyDescent="0.2">
      <c r="O55"/>
      <c r="P55"/>
      <c r="Q55"/>
      <c r="R55"/>
      <c r="S55"/>
      <c r="T55"/>
      <c r="U55"/>
      <c r="V55"/>
      <c r="W55"/>
      <c r="X55"/>
      <c r="Y55"/>
      <c r="Z55" s="4"/>
      <c r="AD55"/>
      <c r="AE55"/>
      <c r="AF55"/>
      <c r="AG55"/>
      <c r="AH55"/>
      <c r="AI55"/>
      <c r="AJ55"/>
    </row>
    <row r="56" spans="15:36" ht="15" customHeight="1" x14ac:dyDescent="0.2">
      <c r="O56"/>
      <c r="P56"/>
      <c r="Q56"/>
      <c r="R56"/>
      <c r="S56"/>
      <c r="T56"/>
      <c r="U56"/>
      <c r="V56"/>
      <c r="W56"/>
      <c r="X56"/>
      <c r="Y56"/>
      <c r="Z56" s="4"/>
      <c r="AD56"/>
      <c r="AE56"/>
      <c r="AF56"/>
      <c r="AG56"/>
      <c r="AH56"/>
      <c r="AI56"/>
      <c r="AJ56"/>
    </row>
    <row r="57" spans="15:36" ht="15" customHeight="1" x14ac:dyDescent="0.2">
      <c r="O57"/>
      <c r="P57"/>
      <c r="Q57"/>
      <c r="R57"/>
      <c r="S57"/>
      <c r="T57"/>
      <c r="U57"/>
      <c r="V57"/>
      <c r="W57"/>
      <c r="X57"/>
      <c r="Y57"/>
      <c r="Z57" s="4"/>
      <c r="AD57"/>
      <c r="AE57"/>
      <c r="AF57"/>
      <c r="AG57"/>
      <c r="AH57"/>
      <c r="AI57"/>
      <c r="AJ57"/>
    </row>
    <row r="58" spans="15:36" ht="15" customHeight="1" x14ac:dyDescent="0.2">
      <c r="O58"/>
      <c r="P58"/>
      <c r="Q58"/>
      <c r="R58"/>
      <c r="S58"/>
      <c r="T58"/>
      <c r="U58"/>
      <c r="V58"/>
      <c r="W58"/>
      <c r="X58"/>
      <c r="Y58"/>
      <c r="Z58" s="4"/>
      <c r="AD58"/>
      <c r="AE58"/>
      <c r="AF58"/>
      <c r="AG58"/>
      <c r="AH58"/>
      <c r="AI58"/>
      <c r="AJ58"/>
    </row>
    <row r="59" spans="15:36" ht="15" customHeight="1" x14ac:dyDescent="0.2">
      <c r="O59"/>
      <c r="P59"/>
      <c r="Q59"/>
      <c r="R59"/>
      <c r="S59"/>
      <c r="T59"/>
      <c r="U59"/>
      <c r="V59"/>
      <c r="W59"/>
      <c r="X59"/>
      <c r="Y59"/>
      <c r="Z59" s="4"/>
      <c r="AD59"/>
      <c r="AE59"/>
      <c r="AF59"/>
      <c r="AG59"/>
      <c r="AH59"/>
      <c r="AI59"/>
      <c r="AJ59"/>
    </row>
    <row r="60" spans="15:36" ht="15" customHeight="1" x14ac:dyDescent="0.2">
      <c r="O60"/>
      <c r="P60"/>
      <c r="Q60"/>
      <c r="R60"/>
      <c r="S60"/>
      <c r="T60"/>
      <c r="U60"/>
      <c r="V60"/>
      <c r="W60"/>
      <c r="X60"/>
      <c r="Y60"/>
      <c r="Z60" s="4"/>
      <c r="AD60"/>
      <c r="AE60"/>
      <c r="AF60"/>
      <c r="AG60"/>
      <c r="AH60"/>
      <c r="AI60"/>
      <c r="AJ60"/>
    </row>
    <row r="61" spans="15:36" ht="15" customHeight="1" x14ac:dyDescent="0.2">
      <c r="O61"/>
      <c r="P61"/>
      <c r="Q61"/>
      <c r="R61"/>
      <c r="S61"/>
      <c r="T61"/>
      <c r="U61"/>
      <c r="V61"/>
      <c r="W61"/>
      <c r="X61"/>
      <c r="Y61"/>
      <c r="Z61" s="4"/>
      <c r="AD61"/>
      <c r="AE61"/>
      <c r="AF61"/>
      <c r="AG61"/>
      <c r="AH61"/>
      <c r="AI61"/>
      <c r="AJ61"/>
    </row>
    <row r="62" spans="15:36" ht="15" customHeight="1" x14ac:dyDescent="0.2">
      <c r="O62"/>
      <c r="P62"/>
      <c r="Q62"/>
      <c r="R62"/>
      <c r="S62"/>
      <c r="T62"/>
      <c r="U62"/>
      <c r="V62"/>
      <c r="W62"/>
      <c r="X62"/>
      <c r="Y62"/>
      <c r="Z62" s="4"/>
      <c r="AD62"/>
      <c r="AE62"/>
      <c r="AF62"/>
      <c r="AG62"/>
      <c r="AH62"/>
      <c r="AI62"/>
      <c r="AJ62"/>
    </row>
    <row r="63" spans="15:36" ht="15" customHeight="1" x14ac:dyDescent="0.2">
      <c r="O63"/>
      <c r="P63"/>
      <c r="Q63"/>
      <c r="R63"/>
      <c r="S63"/>
      <c r="T63"/>
      <c r="U63"/>
      <c r="V63"/>
      <c r="W63"/>
      <c r="X63"/>
      <c r="Y63"/>
      <c r="Z63" s="4"/>
      <c r="AD63"/>
      <c r="AE63"/>
      <c r="AF63"/>
      <c r="AG63"/>
      <c r="AH63"/>
      <c r="AI63"/>
      <c r="AJ63"/>
    </row>
    <row r="64" spans="15:36" ht="15" customHeight="1" x14ac:dyDescent="0.2">
      <c r="O64"/>
      <c r="P64"/>
      <c r="Q64"/>
      <c r="R64"/>
      <c r="S64"/>
      <c r="T64"/>
      <c r="U64"/>
      <c r="V64"/>
      <c r="W64"/>
      <c r="X64"/>
      <c r="Y64"/>
      <c r="Z64" s="4"/>
      <c r="AD64"/>
      <c r="AE64"/>
      <c r="AF64"/>
      <c r="AG64"/>
      <c r="AH64"/>
      <c r="AI64"/>
      <c r="AJ64"/>
    </row>
    <row r="65" spans="15:36" ht="15" customHeight="1" x14ac:dyDescent="0.2">
      <c r="O65"/>
      <c r="P65"/>
      <c r="Q65"/>
      <c r="R65"/>
      <c r="S65"/>
      <c r="T65"/>
      <c r="U65"/>
      <c r="V65"/>
      <c r="W65"/>
      <c r="X65"/>
      <c r="Y65"/>
      <c r="Z65" s="4"/>
      <c r="AD65"/>
      <c r="AE65"/>
      <c r="AF65"/>
      <c r="AG65"/>
      <c r="AH65"/>
      <c r="AI65"/>
      <c r="AJ65"/>
    </row>
    <row r="66" spans="15:36" ht="15" customHeight="1" x14ac:dyDescent="0.2">
      <c r="O66"/>
      <c r="P66"/>
      <c r="Q66"/>
      <c r="R66"/>
      <c r="S66"/>
      <c r="T66"/>
      <c r="U66"/>
      <c r="V66"/>
      <c r="W66"/>
      <c r="X66"/>
      <c r="Y66"/>
      <c r="Z66" s="4"/>
      <c r="AD66"/>
      <c r="AE66"/>
      <c r="AF66"/>
      <c r="AG66"/>
      <c r="AH66"/>
      <c r="AI66"/>
      <c r="AJ66"/>
    </row>
    <row r="67" spans="15:36" ht="15" customHeight="1" x14ac:dyDescent="0.2">
      <c r="O67"/>
      <c r="P67"/>
      <c r="Q67"/>
      <c r="R67"/>
      <c r="S67"/>
      <c r="T67"/>
      <c r="U67"/>
      <c r="V67"/>
      <c r="W67"/>
      <c r="X67"/>
      <c r="Y67"/>
      <c r="Z67" s="4"/>
      <c r="AD67"/>
      <c r="AE67"/>
      <c r="AF67"/>
      <c r="AG67"/>
      <c r="AH67"/>
      <c r="AI67"/>
      <c r="AJ67"/>
    </row>
    <row r="68" spans="15:36" ht="15" customHeight="1" x14ac:dyDescent="0.2">
      <c r="O68"/>
      <c r="P68"/>
      <c r="Q68"/>
      <c r="R68"/>
      <c r="S68"/>
      <c r="T68"/>
      <c r="U68"/>
      <c r="V68"/>
      <c r="W68"/>
      <c r="X68"/>
      <c r="Y68"/>
      <c r="Z68" s="4"/>
      <c r="AD68"/>
      <c r="AE68"/>
      <c r="AF68"/>
      <c r="AG68"/>
      <c r="AH68"/>
      <c r="AI68"/>
      <c r="AJ68"/>
    </row>
    <row r="69" spans="15:36" ht="15" customHeight="1" x14ac:dyDescent="0.2">
      <c r="O69"/>
      <c r="P69"/>
      <c r="Q69"/>
      <c r="R69"/>
      <c r="S69"/>
      <c r="T69"/>
      <c r="U69"/>
      <c r="V69"/>
      <c r="W69"/>
      <c r="X69"/>
      <c r="Y69"/>
      <c r="Z69" s="4"/>
      <c r="AD69"/>
      <c r="AE69"/>
      <c r="AF69"/>
      <c r="AG69"/>
      <c r="AH69"/>
      <c r="AI69"/>
      <c r="AJ69"/>
    </row>
    <row r="70" spans="15:36" ht="15" customHeight="1" x14ac:dyDescent="0.2">
      <c r="O70"/>
      <c r="P70"/>
      <c r="Q70"/>
      <c r="R70"/>
      <c r="S70"/>
      <c r="T70"/>
      <c r="U70"/>
      <c r="V70"/>
      <c r="W70"/>
      <c r="X70"/>
      <c r="Y70"/>
      <c r="Z70" s="4"/>
      <c r="AD70"/>
      <c r="AE70"/>
      <c r="AF70"/>
      <c r="AG70"/>
      <c r="AH70"/>
      <c r="AI70"/>
      <c r="AJ70"/>
    </row>
    <row r="71" spans="15:36" ht="15" customHeight="1" x14ac:dyDescent="0.2">
      <c r="O71"/>
      <c r="P71"/>
      <c r="Q71"/>
      <c r="R71"/>
      <c r="S71"/>
      <c r="T71"/>
      <c r="U71"/>
      <c r="V71"/>
      <c r="W71"/>
      <c r="X71"/>
      <c r="Y71"/>
      <c r="Z71" s="4"/>
      <c r="AD71"/>
      <c r="AE71"/>
      <c r="AF71"/>
      <c r="AG71"/>
      <c r="AH71"/>
      <c r="AI71"/>
      <c r="AJ71"/>
    </row>
    <row r="72" spans="15:36" ht="15" customHeight="1" x14ac:dyDescent="0.2">
      <c r="O72"/>
      <c r="P72"/>
      <c r="Q72"/>
      <c r="R72"/>
      <c r="S72"/>
      <c r="T72"/>
      <c r="U72"/>
      <c r="V72"/>
      <c r="W72"/>
      <c r="X72"/>
      <c r="Y72"/>
      <c r="Z72" s="4"/>
      <c r="AD72"/>
      <c r="AE72"/>
      <c r="AF72"/>
      <c r="AG72"/>
      <c r="AH72"/>
      <c r="AI72"/>
      <c r="AJ72"/>
    </row>
    <row r="73" spans="15:36" ht="15" customHeight="1" x14ac:dyDescent="0.2">
      <c r="O73"/>
      <c r="P73"/>
      <c r="Q73"/>
      <c r="R73"/>
      <c r="S73"/>
      <c r="T73"/>
      <c r="U73"/>
      <c r="V73"/>
      <c r="W73"/>
      <c r="X73"/>
      <c r="Y73"/>
      <c r="Z73" s="4"/>
      <c r="AD73"/>
      <c r="AE73"/>
      <c r="AF73"/>
      <c r="AG73"/>
      <c r="AH73"/>
      <c r="AI73"/>
      <c r="AJ73"/>
    </row>
    <row r="74" spans="15:36" ht="15" customHeight="1" x14ac:dyDescent="0.2">
      <c r="O74"/>
      <c r="P74"/>
      <c r="Q74"/>
      <c r="R74"/>
      <c r="S74"/>
      <c r="T74"/>
      <c r="U74"/>
      <c r="V74"/>
      <c r="W74"/>
      <c r="X74"/>
      <c r="Y74"/>
      <c r="Z74" s="4"/>
      <c r="AD74"/>
      <c r="AE74"/>
      <c r="AF74"/>
      <c r="AG74"/>
      <c r="AH74"/>
      <c r="AI74"/>
      <c r="AJ74"/>
    </row>
    <row r="75" spans="15:36" ht="15" customHeight="1" x14ac:dyDescent="0.2">
      <c r="O75"/>
      <c r="P75"/>
      <c r="Q75"/>
      <c r="R75"/>
      <c r="S75"/>
      <c r="T75"/>
      <c r="U75"/>
      <c r="V75"/>
      <c r="W75"/>
      <c r="X75"/>
      <c r="Y75"/>
      <c r="Z75" s="4"/>
      <c r="AD75"/>
      <c r="AE75"/>
      <c r="AF75"/>
      <c r="AG75"/>
      <c r="AH75"/>
      <c r="AI75"/>
      <c r="AJ75"/>
    </row>
    <row r="76" spans="15:36" ht="15" customHeight="1" x14ac:dyDescent="0.2">
      <c r="O76"/>
      <c r="P76"/>
      <c r="Q76"/>
      <c r="R76"/>
      <c r="S76"/>
      <c r="T76"/>
      <c r="U76"/>
      <c r="V76"/>
      <c r="W76"/>
      <c r="X76"/>
      <c r="Y76"/>
      <c r="Z76" s="4"/>
      <c r="AD76"/>
      <c r="AE76"/>
      <c r="AF76"/>
      <c r="AG76"/>
      <c r="AH76"/>
      <c r="AI76"/>
      <c r="AJ76"/>
    </row>
    <row r="77" spans="15:36" ht="15" customHeight="1" x14ac:dyDescent="0.2">
      <c r="O77"/>
      <c r="P77"/>
      <c r="Q77"/>
      <c r="R77"/>
      <c r="S77"/>
      <c r="T77"/>
      <c r="U77"/>
      <c r="V77"/>
      <c r="W77"/>
      <c r="X77"/>
      <c r="Y77"/>
      <c r="Z77" s="4"/>
      <c r="AD77"/>
      <c r="AE77"/>
      <c r="AF77"/>
      <c r="AG77"/>
      <c r="AH77"/>
      <c r="AI77"/>
      <c r="AJ77"/>
    </row>
    <row r="78" spans="15:36" ht="15" customHeight="1" x14ac:dyDescent="0.2">
      <c r="O78"/>
      <c r="P78"/>
      <c r="Q78"/>
      <c r="R78"/>
      <c r="S78"/>
      <c r="T78"/>
      <c r="U78"/>
      <c r="V78"/>
      <c r="W78"/>
      <c r="X78"/>
      <c r="Y78"/>
      <c r="Z78" s="4"/>
      <c r="AD78"/>
      <c r="AE78"/>
      <c r="AF78"/>
      <c r="AG78"/>
      <c r="AH78"/>
      <c r="AI78"/>
      <c r="AJ78"/>
    </row>
    <row r="79" spans="15:36" ht="15" customHeight="1" x14ac:dyDescent="0.2">
      <c r="O79"/>
      <c r="P79"/>
      <c r="Q79"/>
      <c r="R79"/>
      <c r="S79"/>
      <c r="T79"/>
      <c r="U79"/>
      <c r="V79"/>
      <c r="W79"/>
      <c r="X79"/>
      <c r="Y79"/>
      <c r="Z79" s="4"/>
      <c r="AD79"/>
      <c r="AE79"/>
      <c r="AF79"/>
      <c r="AG79"/>
      <c r="AH79"/>
      <c r="AI79"/>
      <c r="AJ79"/>
    </row>
    <row r="80" spans="15:36" ht="15" customHeight="1" x14ac:dyDescent="0.2">
      <c r="O80"/>
      <c r="P80"/>
      <c r="Q80"/>
      <c r="R80"/>
      <c r="S80"/>
      <c r="T80"/>
      <c r="U80"/>
      <c r="V80"/>
      <c r="W80"/>
      <c r="X80"/>
      <c r="Y80"/>
      <c r="Z80" s="4"/>
      <c r="AD80"/>
      <c r="AE80"/>
      <c r="AF80"/>
      <c r="AG80"/>
      <c r="AH80"/>
      <c r="AI80"/>
      <c r="AJ80"/>
    </row>
    <row r="81" spans="15:36" ht="15" customHeight="1" x14ac:dyDescent="0.2">
      <c r="O81"/>
      <c r="P81"/>
      <c r="Q81"/>
      <c r="R81"/>
      <c r="S81"/>
      <c r="T81"/>
      <c r="U81"/>
      <c r="V81"/>
      <c r="W81"/>
      <c r="X81"/>
      <c r="Y81"/>
      <c r="Z81" s="4"/>
      <c r="AD81"/>
      <c r="AE81"/>
      <c r="AF81"/>
      <c r="AG81"/>
      <c r="AH81"/>
      <c r="AI81"/>
      <c r="AJ81"/>
    </row>
    <row r="82" spans="15:36" ht="15" customHeight="1" x14ac:dyDescent="0.2">
      <c r="O82"/>
      <c r="P82"/>
      <c r="Q82"/>
      <c r="R82"/>
      <c r="S82"/>
      <c r="T82"/>
      <c r="U82"/>
      <c r="V82"/>
      <c r="W82"/>
      <c r="X82"/>
      <c r="Y82"/>
      <c r="Z82" s="4"/>
      <c r="AD82"/>
      <c r="AE82"/>
      <c r="AF82"/>
      <c r="AG82"/>
      <c r="AH82"/>
      <c r="AI82"/>
      <c r="AJ82"/>
    </row>
    <row r="83" spans="15:36" ht="15" customHeight="1" x14ac:dyDescent="0.2">
      <c r="O83"/>
      <c r="P83"/>
      <c r="Q83"/>
      <c r="R83"/>
      <c r="S83"/>
      <c r="T83"/>
      <c r="U83"/>
      <c r="V83"/>
      <c r="W83"/>
      <c r="X83"/>
      <c r="Y83"/>
      <c r="Z83" s="4"/>
      <c r="AD83"/>
      <c r="AE83"/>
      <c r="AF83"/>
      <c r="AG83"/>
      <c r="AH83"/>
      <c r="AI83"/>
      <c r="AJ83"/>
    </row>
    <row r="84" spans="15:36" ht="15" customHeight="1" x14ac:dyDescent="0.2">
      <c r="O84"/>
      <c r="P84"/>
      <c r="Q84"/>
      <c r="R84"/>
      <c r="S84"/>
      <c r="T84"/>
      <c r="U84"/>
      <c r="V84"/>
      <c r="W84"/>
      <c r="X84"/>
      <c r="Y84"/>
      <c r="Z84" s="4"/>
      <c r="AD84"/>
      <c r="AE84"/>
      <c r="AF84"/>
      <c r="AG84"/>
      <c r="AH84"/>
      <c r="AI84"/>
      <c r="AJ84"/>
    </row>
    <row r="85" spans="15:36" ht="15" customHeight="1" x14ac:dyDescent="0.2">
      <c r="O85"/>
      <c r="P85"/>
      <c r="Q85"/>
      <c r="R85"/>
      <c r="S85"/>
      <c r="T85"/>
      <c r="U85"/>
      <c r="V85"/>
      <c r="W85"/>
      <c r="X85"/>
      <c r="Y85"/>
      <c r="Z85" s="4"/>
      <c r="AD85"/>
      <c r="AE85"/>
      <c r="AF85"/>
      <c r="AG85"/>
      <c r="AH85"/>
      <c r="AI85"/>
      <c r="AJ85"/>
    </row>
    <row r="86" spans="15:36" ht="15" customHeight="1" x14ac:dyDescent="0.2">
      <c r="O86"/>
      <c r="P86"/>
      <c r="Q86"/>
      <c r="R86"/>
      <c r="S86"/>
      <c r="T86"/>
      <c r="U86"/>
      <c r="V86"/>
      <c r="W86"/>
      <c r="X86"/>
      <c r="Y86"/>
      <c r="Z86" s="4"/>
      <c r="AD86"/>
      <c r="AE86"/>
      <c r="AF86"/>
      <c r="AG86"/>
      <c r="AH86"/>
      <c r="AI86"/>
      <c r="AJ86"/>
    </row>
    <row r="87" spans="15:36" ht="15" customHeight="1" x14ac:dyDescent="0.2">
      <c r="O87"/>
      <c r="P87"/>
      <c r="Q87"/>
      <c r="R87"/>
      <c r="S87"/>
      <c r="T87"/>
      <c r="U87"/>
      <c r="V87"/>
      <c r="W87"/>
      <c r="X87"/>
      <c r="Y87"/>
      <c r="Z87" s="4"/>
      <c r="AD87"/>
      <c r="AE87"/>
      <c r="AF87"/>
      <c r="AG87"/>
      <c r="AH87"/>
      <c r="AI87"/>
      <c r="AJ87"/>
    </row>
    <row r="88" spans="15:36" ht="15" customHeight="1" x14ac:dyDescent="0.2">
      <c r="O88"/>
      <c r="P88"/>
      <c r="Q88"/>
      <c r="R88"/>
      <c r="S88"/>
      <c r="T88"/>
      <c r="U88"/>
      <c r="V88"/>
      <c r="W88"/>
      <c r="X88"/>
      <c r="Y88"/>
      <c r="Z88" s="4"/>
      <c r="AD88"/>
      <c r="AE88"/>
      <c r="AF88"/>
      <c r="AG88"/>
      <c r="AH88"/>
      <c r="AI88"/>
      <c r="AJ88"/>
    </row>
    <row r="89" spans="15:36" ht="15" customHeight="1" x14ac:dyDescent="0.2">
      <c r="O89"/>
      <c r="P89"/>
      <c r="Q89"/>
      <c r="R89"/>
      <c r="S89"/>
      <c r="T89"/>
      <c r="U89"/>
      <c r="V89"/>
      <c r="W89"/>
      <c r="X89"/>
      <c r="Y89"/>
      <c r="Z89" s="4"/>
      <c r="AD89"/>
      <c r="AE89"/>
      <c r="AF89"/>
      <c r="AG89"/>
      <c r="AH89"/>
      <c r="AI89"/>
      <c r="AJ89"/>
    </row>
    <row r="90" spans="15:36" ht="15" customHeight="1" x14ac:dyDescent="0.2">
      <c r="O90"/>
      <c r="P90"/>
      <c r="Q90"/>
      <c r="R90"/>
      <c r="S90"/>
      <c r="T90"/>
      <c r="U90"/>
      <c r="V90"/>
      <c r="W90"/>
      <c r="X90"/>
      <c r="Y90"/>
      <c r="Z90" s="4"/>
      <c r="AD90"/>
      <c r="AE90"/>
      <c r="AF90"/>
      <c r="AG90"/>
      <c r="AH90"/>
      <c r="AI90"/>
      <c r="AJ90"/>
    </row>
    <row r="91" spans="15:36" ht="15" customHeight="1" x14ac:dyDescent="0.2">
      <c r="O91"/>
      <c r="P91"/>
      <c r="Q91"/>
      <c r="R91"/>
      <c r="S91"/>
      <c r="T91"/>
      <c r="U91"/>
      <c r="V91"/>
      <c r="W91"/>
      <c r="X91"/>
      <c r="Y91"/>
      <c r="Z91" s="4"/>
      <c r="AD91"/>
      <c r="AE91"/>
      <c r="AF91"/>
      <c r="AG91"/>
      <c r="AH91"/>
      <c r="AI91"/>
      <c r="AJ91"/>
    </row>
    <row r="92" spans="15:36" ht="79.5" customHeight="1" x14ac:dyDescent="0.2">
      <c r="O92"/>
      <c r="P92"/>
      <c r="Q92"/>
      <c r="R92"/>
      <c r="S92"/>
      <c r="T92"/>
      <c r="U92"/>
      <c r="V92"/>
      <c r="W92"/>
      <c r="X92"/>
      <c r="Y92"/>
      <c r="Z92" s="4"/>
      <c r="AD92"/>
      <c r="AE92"/>
      <c r="AF92"/>
      <c r="AG92"/>
      <c r="AH92"/>
      <c r="AI92"/>
      <c r="AJ92"/>
    </row>
    <row r="93" spans="15:36" ht="15" customHeight="1" x14ac:dyDescent="0.2">
      <c r="O93"/>
      <c r="P93"/>
      <c r="Q93"/>
      <c r="R93"/>
      <c r="S93"/>
      <c r="T93"/>
      <c r="U93"/>
      <c r="V93"/>
      <c r="W93"/>
      <c r="X93"/>
      <c r="Y93"/>
      <c r="Z93" s="4"/>
      <c r="AD93"/>
      <c r="AE93"/>
      <c r="AF93"/>
      <c r="AG93"/>
      <c r="AH93"/>
      <c r="AI93"/>
      <c r="AJ93"/>
    </row>
    <row r="94" spans="15:36" ht="15" customHeight="1" x14ac:dyDescent="0.2">
      <c r="O94"/>
      <c r="P94"/>
      <c r="Q94"/>
      <c r="R94"/>
      <c r="S94"/>
      <c r="T94"/>
      <c r="U94"/>
      <c r="V94"/>
      <c r="W94"/>
      <c r="X94"/>
      <c r="Y94"/>
      <c r="Z94" s="4"/>
      <c r="AD94"/>
      <c r="AE94"/>
      <c r="AF94"/>
      <c r="AG94"/>
      <c r="AH94"/>
      <c r="AI94"/>
      <c r="AJ94"/>
    </row>
    <row r="95" spans="15:36" ht="15" customHeight="1" x14ac:dyDescent="0.2">
      <c r="O95"/>
      <c r="P95"/>
      <c r="Q95"/>
      <c r="R95"/>
      <c r="S95"/>
      <c r="T95"/>
      <c r="U95"/>
      <c r="V95"/>
      <c r="W95"/>
      <c r="X95"/>
      <c r="Y95"/>
      <c r="Z95" s="4"/>
      <c r="AD95"/>
      <c r="AE95"/>
      <c r="AF95"/>
      <c r="AG95"/>
      <c r="AH95"/>
      <c r="AI95"/>
      <c r="AJ95"/>
    </row>
    <row r="96" spans="15:36" ht="15" customHeight="1" x14ac:dyDescent="0.2">
      <c r="O96"/>
      <c r="P96"/>
      <c r="Q96"/>
      <c r="R96"/>
      <c r="S96"/>
      <c r="T96"/>
      <c r="U96"/>
      <c r="V96"/>
      <c r="W96"/>
      <c r="X96"/>
      <c r="Y96"/>
      <c r="Z96" s="4"/>
      <c r="AD96"/>
      <c r="AE96"/>
      <c r="AF96"/>
      <c r="AG96"/>
      <c r="AH96"/>
      <c r="AI96"/>
      <c r="AJ96"/>
    </row>
    <row r="97" spans="15:36" ht="15" customHeight="1" x14ac:dyDescent="0.2">
      <c r="O97"/>
      <c r="P97"/>
      <c r="Q97"/>
      <c r="R97"/>
      <c r="S97"/>
      <c r="T97"/>
      <c r="U97"/>
      <c r="V97"/>
      <c r="W97"/>
      <c r="X97"/>
      <c r="Y97"/>
      <c r="Z97" s="4"/>
      <c r="AD97"/>
      <c r="AE97"/>
      <c r="AF97"/>
      <c r="AG97"/>
      <c r="AH97"/>
      <c r="AI97"/>
      <c r="AJ97"/>
    </row>
    <row r="98" spans="15:36" ht="15" customHeight="1" x14ac:dyDescent="0.2">
      <c r="O98"/>
      <c r="P98"/>
      <c r="Q98"/>
      <c r="R98"/>
      <c r="S98"/>
      <c r="T98"/>
      <c r="U98"/>
      <c r="V98"/>
      <c r="W98"/>
      <c r="X98"/>
      <c r="Y98"/>
      <c r="Z98" s="4"/>
      <c r="AD98"/>
      <c r="AE98"/>
      <c r="AF98"/>
      <c r="AG98"/>
      <c r="AH98"/>
      <c r="AI98"/>
      <c r="AJ98"/>
    </row>
    <row r="99" spans="15:36" ht="15" customHeight="1" x14ac:dyDescent="0.2">
      <c r="O99"/>
      <c r="P99"/>
      <c r="Q99"/>
      <c r="R99"/>
      <c r="S99"/>
      <c r="T99"/>
      <c r="U99"/>
      <c r="V99"/>
      <c r="W99"/>
      <c r="X99"/>
      <c r="Y99"/>
      <c r="Z99" s="4"/>
      <c r="AD99"/>
      <c r="AE99"/>
      <c r="AF99"/>
      <c r="AG99"/>
      <c r="AH99"/>
      <c r="AI99"/>
      <c r="AJ99"/>
    </row>
  </sheetData>
  <mergeCells count="10">
    <mergeCell ref="AB14:AC14"/>
    <mergeCell ref="G23:H23"/>
    <mergeCell ref="K7:L7"/>
    <mergeCell ref="B1:D1"/>
    <mergeCell ref="K3:L3"/>
    <mergeCell ref="G3:H3"/>
    <mergeCell ref="F1:M1"/>
    <mergeCell ref="K9:L9"/>
    <mergeCell ref="F15:M15"/>
    <mergeCell ref="F19:M19"/>
  </mergeCells>
  <phoneticPr fontId="0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0259-1477-4585-B4C1-3D8F27A4AFB8}">
  <dimension ref="B1:BD98"/>
  <sheetViews>
    <sheetView workbookViewId="0">
      <selection activeCell="C23" sqref="C23"/>
    </sheetView>
  </sheetViews>
  <sheetFormatPr baseColWidth="10" defaultColWidth="10.7109375" defaultRowHeight="15" customHeight="1" outlineLevelCol="1" x14ac:dyDescent="0.2"/>
  <cols>
    <col min="1" max="1" width="4.7109375" style="1" customWidth="1"/>
    <col min="2" max="4" width="11.42578125" style="1" customWidth="1"/>
    <col min="5" max="5" width="4.7109375" style="1" customWidth="1"/>
    <col min="6" max="6" width="15.7109375" style="1" customWidth="1"/>
    <col min="7" max="7" width="14.42578125" style="1" customWidth="1"/>
    <col min="8" max="8" width="13.140625" style="1" customWidth="1"/>
    <col min="9" max="9" width="14.140625" style="1" customWidth="1"/>
    <col min="10" max="10" width="16.42578125" style="1" bestFit="1" customWidth="1"/>
    <col min="11" max="11" width="5.7109375" style="1" customWidth="1"/>
    <col min="12" max="12" width="5.7109375" style="1" customWidth="1" outlineLevel="1"/>
    <col min="13" max="14" width="4.7109375" style="1" customWidth="1" outlineLevel="1"/>
    <col min="15" max="24" width="7.7109375" style="1" hidden="1" customWidth="1" outlineLevel="1"/>
    <col min="25" max="28" width="7.7109375" style="1" hidden="1" customWidth="1"/>
    <col min="29" max="30" width="5.7109375" style="1" hidden="1" customWidth="1"/>
    <col min="31" max="31" width="9.28515625" style="1" hidden="1" customWidth="1"/>
    <col min="32" max="32" width="3.7109375" style="1" hidden="1" customWidth="1"/>
    <col min="33" max="33" width="7.7109375" style="1" hidden="1" customWidth="1"/>
    <col min="34" max="34" width="8.28515625" style="1" hidden="1" customWidth="1"/>
    <col min="35" max="35" width="3.7109375" style="1" hidden="1" customWidth="1"/>
    <col min="36" max="36" width="7.7109375" style="1" hidden="1" customWidth="1"/>
    <col min="37" max="37" width="5.7109375" style="1" hidden="1" customWidth="1"/>
    <col min="38" max="38" width="4.28515625" style="1" hidden="1" customWidth="1"/>
    <col min="39" max="39" width="7.7109375" style="1" hidden="1" customWidth="1"/>
    <col min="40" max="40" width="9.5703125" style="1" hidden="1" customWidth="1"/>
    <col min="41" max="41" width="3.7109375" style="1" hidden="1" customWidth="1"/>
    <col min="42" max="42" width="7.7109375" style="1" hidden="1" customWidth="1"/>
    <col min="43" max="44" width="5.7109375" style="1" hidden="1" customWidth="1"/>
    <col min="45" max="45" width="11.42578125" style="2" hidden="1" customWidth="1"/>
    <col min="46" max="46" width="11.5703125" style="1" hidden="1" customWidth="1"/>
    <col min="47" max="47" width="10.7109375" style="621" hidden="1" customWidth="1"/>
    <col min="48" max="48" width="10.7109375" style="623" hidden="1" customWidth="1"/>
    <col min="49" max="49" width="10.7109375" style="1" hidden="1" customWidth="1"/>
    <col min="50" max="56" width="10.7109375" style="1" customWidth="1"/>
    <col min="57" max="16384" width="10.7109375" style="1"/>
  </cols>
  <sheetData>
    <row r="1" spans="2:56" ht="24.95" customHeight="1" thickTop="1" thickBot="1" x14ac:dyDescent="0.25">
      <c r="B1" s="905" t="s">
        <v>80</v>
      </c>
      <c r="C1" s="906"/>
      <c r="D1" s="907"/>
      <c r="F1" s="905" t="s">
        <v>94</v>
      </c>
      <c r="G1" s="906"/>
      <c r="H1" s="906"/>
      <c r="I1" s="906"/>
      <c r="J1" s="906"/>
      <c r="K1" s="906"/>
      <c r="L1" s="906"/>
      <c r="M1" s="907"/>
      <c r="O1" s="16" t="s">
        <v>17</v>
      </c>
      <c r="R1"/>
      <c r="S1"/>
      <c r="T1"/>
      <c r="U1"/>
      <c r="V1"/>
      <c r="W1"/>
      <c r="X1"/>
      <c r="Y1"/>
      <c r="Z1"/>
      <c r="AA1"/>
      <c r="AT1" s="2" t="s">
        <v>288</v>
      </c>
      <c r="AU1" s="621" t="s">
        <v>294</v>
      </c>
      <c r="AV1" s="621" t="s">
        <v>295</v>
      </c>
    </row>
    <row r="2" spans="2:56" ht="15" customHeight="1" thickTop="1" thickBot="1" x14ac:dyDescent="0.25">
      <c r="B2" s="33"/>
      <c r="D2" s="34"/>
      <c r="F2" s="33"/>
      <c r="M2" s="34"/>
      <c r="O2" s="8"/>
      <c r="P2" s="947" t="s">
        <v>10</v>
      </c>
      <c r="Q2" s="961"/>
      <c r="R2" s="961"/>
      <c r="S2" s="962" t="s">
        <v>11</v>
      </c>
      <c r="T2" s="963"/>
      <c r="U2" s="963"/>
      <c r="V2" s="957" t="s">
        <v>10</v>
      </c>
      <c r="W2" s="958"/>
      <c r="X2" s="958"/>
      <c r="Y2" s="964" t="s">
        <v>11</v>
      </c>
      <c r="Z2" s="964"/>
      <c r="AA2" s="965"/>
      <c r="AM2"/>
      <c r="AN2"/>
      <c r="AO2"/>
      <c r="AP2"/>
      <c r="AQ2"/>
      <c r="AR2"/>
      <c r="AS2" s="4"/>
      <c r="AT2"/>
    </row>
    <row r="3" spans="2:56" ht="15" customHeight="1" thickBot="1" x14ac:dyDescent="0.25">
      <c r="B3" s="61" t="s">
        <v>81</v>
      </c>
      <c r="C3" s="56" t="s">
        <v>206</v>
      </c>
      <c r="D3" s="34"/>
      <c r="F3" s="33"/>
      <c r="G3" s="914" t="s">
        <v>47</v>
      </c>
      <c r="H3" s="915"/>
      <c r="K3" s="908" t="s">
        <v>58</v>
      </c>
      <c r="L3" s="909"/>
      <c r="M3" s="34"/>
      <c r="O3" s="8"/>
      <c r="P3" s="429" t="s">
        <v>189</v>
      </c>
      <c r="Q3" s="430" t="s">
        <v>14</v>
      </c>
      <c r="R3" s="431" t="s">
        <v>190</v>
      </c>
      <c r="S3" s="432" t="s">
        <v>189</v>
      </c>
      <c r="T3" s="432" t="s">
        <v>14</v>
      </c>
      <c r="U3" s="433" t="s">
        <v>190</v>
      </c>
      <c r="V3" s="132" t="s">
        <v>189</v>
      </c>
      <c r="W3" s="115" t="s">
        <v>14</v>
      </c>
      <c r="X3" s="134" t="s">
        <v>190</v>
      </c>
      <c r="Y3" s="439" t="s">
        <v>189</v>
      </c>
      <c r="Z3" s="439" t="s">
        <v>14</v>
      </c>
      <c r="AA3" s="440" t="s">
        <v>190</v>
      </c>
      <c r="AM3"/>
      <c r="AN3" s="4"/>
      <c r="AO3" s="4"/>
      <c r="AP3" s="4"/>
      <c r="AQ3" s="4"/>
      <c r="AR3" s="4"/>
      <c r="AS3" s="4" t="s">
        <v>289</v>
      </c>
      <c r="AT3" s="4">
        <v>612</v>
      </c>
      <c r="AU3" s="622">
        <v>0.29599999999999999</v>
      </c>
      <c r="AV3" s="621">
        <f>AT3*AU3</f>
        <v>181.15199999999999</v>
      </c>
    </row>
    <row r="4" spans="2:56" ht="15" customHeight="1" thickBot="1" x14ac:dyDescent="0.25">
      <c r="B4" s="33"/>
      <c r="D4" s="34"/>
      <c r="F4" s="33"/>
      <c r="M4" s="34"/>
      <c r="O4" s="8" t="s">
        <v>1</v>
      </c>
      <c r="P4" s="212" t="s">
        <v>5</v>
      </c>
      <c r="Q4" s="17" t="s">
        <v>5</v>
      </c>
      <c r="R4" s="17" t="s">
        <v>5</v>
      </c>
      <c r="S4" s="329" t="s">
        <v>5</v>
      </c>
      <c r="T4" s="329" t="s">
        <v>5</v>
      </c>
      <c r="U4" s="435" t="s">
        <v>5</v>
      </c>
      <c r="V4" s="212" t="s">
        <v>12</v>
      </c>
      <c r="W4" s="17" t="s">
        <v>12</v>
      </c>
      <c r="X4" s="17" t="s">
        <v>12</v>
      </c>
      <c r="Y4" s="329" t="s">
        <v>12</v>
      </c>
      <c r="Z4" s="329" t="s">
        <v>12</v>
      </c>
      <c r="AA4" s="435" t="s">
        <v>12</v>
      </c>
      <c r="AF4" s="1" t="s">
        <v>40</v>
      </c>
      <c r="AI4" s="1" t="s">
        <v>41</v>
      </c>
      <c r="AL4" s="1" t="s">
        <v>185</v>
      </c>
      <c r="AM4"/>
      <c r="AN4" s="4"/>
      <c r="AO4" s="4" t="s">
        <v>186</v>
      </c>
      <c r="AP4" s="4"/>
      <c r="AQ4" s="4"/>
      <c r="AR4" s="4"/>
      <c r="AS4" s="4"/>
      <c r="AT4" s="4"/>
      <c r="AU4" s="622"/>
      <c r="AV4" s="621"/>
    </row>
    <row r="5" spans="2:56" ht="15" customHeight="1" thickBot="1" x14ac:dyDescent="0.25">
      <c r="B5" s="62" t="s">
        <v>82</v>
      </c>
      <c r="C5" s="57">
        <v>611</v>
      </c>
      <c r="D5" s="44" t="s">
        <v>65</v>
      </c>
      <c r="F5" s="68" t="s">
        <v>75</v>
      </c>
      <c r="G5" s="5" t="s">
        <v>70</v>
      </c>
      <c r="H5" s="92">
        <v>285</v>
      </c>
      <c r="M5" s="34"/>
      <c r="O5" s="1">
        <v>0</v>
      </c>
      <c r="P5" s="229">
        <v>265</v>
      </c>
      <c r="Q5" s="3">
        <v>295</v>
      </c>
      <c r="R5" s="3">
        <v>330</v>
      </c>
      <c r="S5" s="325"/>
      <c r="T5" s="434"/>
      <c r="U5" s="234"/>
      <c r="V5" s="229">
        <v>530</v>
      </c>
      <c r="W5" s="3">
        <v>590</v>
      </c>
      <c r="X5" s="3">
        <v>655</v>
      </c>
      <c r="Y5" s="325"/>
      <c r="Z5" s="434"/>
      <c r="AA5" s="234"/>
      <c r="AC5" s="2"/>
      <c r="AD5" s="2"/>
      <c r="AE5" s="406" t="s">
        <v>27</v>
      </c>
      <c r="AF5" s="254">
        <v>265</v>
      </c>
      <c r="AG5" s="238">
        <v>2.2499999999999999E-2</v>
      </c>
      <c r="AH5" s="2"/>
      <c r="AI5" s="412"/>
      <c r="AJ5" s="413"/>
      <c r="AL5" s="423">
        <v>530</v>
      </c>
      <c r="AM5" s="238">
        <v>4.4999999999999998E-2</v>
      </c>
      <c r="AN5"/>
      <c r="AO5" s="412"/>
      <c r="AP5" s="413"/>
      <c r="AQ5"/>
      <c r="AR5"/>
      <c r="AS5" s="4" t="s">
        <v>296</v>
      </c>
      <c r="AT5" s="4">
        <f>C7+C8</f>
        <v>160</v>
      </c>
      <c r="AU5" s="621">
        <v>0.41</v>
      </c>
      <c r="AV5" s="621">
        <f t="shared" ref="AV5:AV10" si="0">AT5*AU5</f>
        <v>65.599999999999994</v>
      </c>
      <c r="AW5" s="2"/>
      <c r="AX5" s="2"/>
      <c r="AY5" s="2"/>
      <c r="AZ5" s="2"/>
      <c r="BA5" s="2"/>
      <c r="BB5" s="2"/>
      <c r="BC5" s="2"/>
      <c r="BD5" s="2"/>
    </row>
    <row r="6" spans="2:56" ht="15" customHeight="1" thickBot="1" x14ac:dyDescent="0.25">
      <c r="B6" s="62"/>
      <c r="D6" s="44"/>
      <c r="F6" s="68" t="s">
        <v>74</v>
      </c>
      <c r="G6" s="5" t="s">
        <v>71</v>
      </c>
      <c r="H6" s="93">
        <v>255</v>
      </c>
      <c r="J6" s="5" t="s">
        <v>95</v>
      </c>
      <c r="K6" s="85" t="str">
        <f>IF(X98&lt;0,"D","G")</f>
        <v>D</v>
      </c>
      <c r="L6" s="86">
        <f>IF(X98&gt;0,X98,-X98)</f>
        <v>2.4999999999999964</v>
      </c>
      <c r="M6" s="34"/>
      <c r="O6" s="27">
        <v>4000</v>
      </c>
      <c r="P6" s="229">
        <v>355</v>
      </c>
      <c r="Q6" s="3">
        <v>400</v>
      </c>
      <c r="R6" s="3">
        <v>450</v>
      </c>
      <c r="S6" s="325"/>
      <c r="T6" s="434"/>
      <c r="U6" s="234"/>
      <c r="V6" s="229">
        <v>710</v>
      </c>
      <c r="W6" s="3">
        <v>800</v>
      </c>
      <c r="X6" s="3">
        <v>890</v>
      </c>
      <c r="Y6" s="325"/>
      <c r="Z6" s="434"/>
      <c r="AA6" s="234"/>
      <c r="AB6" s="16"/>
      <c r="AC6" s="839" t="s">
        <v>187</v>
      </c>
      <c r="AD6" s="956"/>
      <c r="AE6" s="407" t="s">
        <v>14</v>
      </c>
      <c r="AF6" s="252">
        <v>295</v>
      </c>
      <c r="AG6" s="408">
        <v>2.6249999999999999E-2</v>
      </c>
      <c r="AI6" s="414"/>
      <c r="AJ6" s="415"/>
      <c r="AL6" s="424">
        <v>590</v>
      </c>
      <c r="AM6" s="408">
        <v>5.2499999999999998E-2</v>
      </c>
      <c r="AN6"/>
      <c r="AO6" s="414"/>
      <c r="AP6" s="415"/>
      <c r="AQ6"/>
      <c r="AR6"/>
      <c r="AS6" s="4" t="s">
        <v>155</v>
      </c>
      <c r="AT6" s="4">
        <f>C9+C10</f>
        <v>120</v>
      </c>
      <c r="AU6" s="621">
        <v>1.19</v>
      </c>
      <c r="AV6" s="621">
        <f t="shared" si="0"/>
        <v>142.79999999999998</v>
      </c>
    </row>
    <row r="7" spans="2:56" ht="15" customHeight="1" thickBot="1" x14ac:dyDescent="0.25">
      <c r="B7" s="62" t="s">
        <v>83</v>
      </c>
      <c r="C7" s="92">
        <v>85</v>
      </c>
      <c r="D7" s="44" t="s">
        <v>65</v>
      </c>
      <c r="F7" s="68" t="s">
        <v>69</v>
      </c>
      <c r="G7" s="5" t="s">
        <v>72</v>
      </c>
      <c r="H7" s="93">
        <v>5</v>
      </c>
      <c r="J7" s="5" t="s">
        <v>73</v>
      </c>
      <c r="K7" s="903">
        <f>X96</f>
        <v>-4.3301270189221954</v>
      </c>
      <c r="L7" s="904"/>
      <c r="M7" s="34"/>
      <c r="O7" s="28">
        <v>8000</v>
      </c>
      <c r="P7" s="230">
        <v>485</v>
      </c>
      <c r="Q7" s="436">
        <v>550</v>
      </c>
      <c r="R7" s="436">
        <v>620</v>
      </c>
      <c r="S7" s="437"/>
      <c r="T7" s="437"/>
      <c r="U7" s="438"/>
      <c r="V7" s="230">
        <v>980</v>
      </c>
      <c r="W7" s="436">
        <v>1105</v>
      </c>
      <c r="X7" s="436">
        <v>1250</v>
      </c>
      <c r="Y7" s="437"/>
      <c r="Z7" s="437"/>
      <c r="AA7" s="438"/>
      <c r="AB7" s="16"/>
      <c r="AE7" s="409" t="s">
        <v>28</v>
      </c>
      <c r="AF7" s="410">
        <v>330</v>
      </c>
      <c r="AG7" s="411">
        <v>0.03</v>
      </c>
      <c r="AI7" s="416"/>
      <c r="AJ7" s="417"/>
      <c r="AL7" s="425">
        <v>655</v>
      </c>
      <c r="AM7" s="411">
        <v>5.8749999999999997E-2</v>
      </c>
      <c r="AN7"/>
      <c r="AO7" s="426"/>
      <c r="AP7" s="427"/>
      <c r="AQ7"/>
      <c r="AR7"/>
      <c r="AS7" s="4" t="s">
        <v>86</v>
      </c>
      <c r="AT7" s="4">
        <f>C11</f>
        <v>15</v>
      </c>
      <c r="AU7" s="621">
        <v>1.9</v>
      </c>
      <c r="AV7" s="621">
        <f t="shared" si="0"/>
        <v>28.5</v>
      </c>
    </row>
    <row r="8" spans="2:56" ht="15" customHeight="1" thickBot="1" x14ac:dyDescent="0.25">
      <c r="B8" s="62" t="s">
        <v>84</v>
      </c>
      <c r="C8" s="93">
        <v>75</v>
      </c>
      <c r="D8" s="44" t="s">
        <v>65</v>
      </c>
      <c r="F8" s="68" t="s">
        <v>65</v>
      </c>
      <c r="G8" s="5" t="s">
        <v>2</v>
      </c>
      <c r="H8" s="70">
        <f>C22</f>
        <v>1042.42</v>
      </c>
      <c r="M8" s="34"/>
      <c r="P8"/>
      <c r="Q8"/>
      <c r="R8"/>
      <c r="S8"/>
      <c r="T8"/>
      <c r="U8"/>
      <c r="V8"/>
      <c r="W8"/>
      <c r="X8"/>
      <c r="Y8"/>
      <c r="Z8"/>
      <c r="AA8"/>
      <c r="AB8" s="16"/>
      <c r="AL8" s="16"/>
      <c r="AM8" s="21"/>
      <c r="AN8"/>
      <c r="AO8"/>
      <c r="AP8"/>
      <c r="AQ8"/>
      <c r="AR8"/>
      <c r="AS8" s="4"/>
      <c r="AT8" s="4"/>
      <c r="AV8" s="621"/>
    </row>
    <row r="9" spans="2:56" ht="15" customHeight="1" thickBot="1" x14ac:dyDescent="0.25">
      <c r="B9" s="62" t="s">
        <v>85</v>
      </c>
      <c r="C9" s="93">
        <v>65</v>
      </c>
      <c r="D9" s="44" t="s">
        <v>65</v>
      </c>
      <c r="F9" s="68" t="s">
        <v>66</v>
      </c>
      <c r="G9" s="5" t="s">
        <v>7</v>
      </c>
      <c r="H9" s="93">
        <v>426</v>
      </c>
      <c r="I9" s="60" t="str">
        <f>IF(H9&gt;8000,"8000 ft max","")</f>
        <v/>
      </c>
      <c r="J9" s="5" t="s">
        <v>96</v>
      </c>
      <c r="K9" s="916">
        <f>IF(H11&gt;1013,H9-(H11-1013)*28,H9+(1013-H11)*28)</f>
        <v>426</v>
      </c>
      <c r="L9" s="917"/>
      <c r="M9" s="34"/>
      <c r="O9" s="2" t="s">
        <v>42</v>
      </c>
      <c r="P9" s="91">
        <f>AF5+AG5*$K$9</f>
        <v>274.58499999999998</v>
      </c>
      <c r="Q9" s="91">
        <f>AF6+AG6*$K$9</f>
        <v>306.1825</v>
      </c>
      <c r="R9" s="91">
        <f>AF7+AG7*$K$9</f>
        <v>342.78</v>
      </c>
      <c r="S9" s="324"/>
      <c r="T9" s="324"/>
      <c r="U9" s="324"/>
      <c r="V9" s="91">
        <f>AL5+AM5*$K$9</f>
        <v>549.16999999999996</v>
      </c>
      <c r="W9" s="91">
        <f>AL6+AM6*$K$9</f>
        <v>612.36500000000001</v>
      </c>
      <c r="X9" s="91">
        <f>AL7+AM7*$K$9</f>
        <v>680.02750000000003</v>
      </c>
      <c r="Y9" s="324"/>
      <c r="Z9" s="324"/>
      <c r="AA9" s="324"/>
      <c r="AB9" s="16"/>
      <c r="AC9" s="237"/>
      <c r="AD9" s="237"/>
      <c r="AE9" s="405"/>
      <c r="AF9" s="237" t="s">
        <v>40</v>
      </c>
      <c r="AG9" s="237"/>
      <c r="AH9" s="237"/>
      <c r="AI9" s="237" t="s">
        <v>41</v>
      </c>
      <c r="AJ9" s="237"/>
      <c r="AK9" s="237"/>
      <c r="AL9" s="237" t="s">
        <v>186</v>
      </c>
      <c r="AM9" s="237"/>
      <c r="AN9" s="237"/>
      <c r="AO9" t="s">
        <v>186</v>
      </c>
      <c r="AP9"/>
      <c r="AQ9"/>
      <c r="AR9"/>
      <c r="AS9" s="4" t="s">
        <v>298</v>
      </c>
      <c r="AT9" s="4">
        <f>C14+C15</f>
        <v>80</v>
      </c>
      <c r="AU9" s="621">
        <v>0.1</v>
      </c>
      <c r="AV9" s="621">
        <f t="shared" si="0"/>
        <v>8</v>
      </c>
    </row>
    <row r="10" spans="2:56" ht="15" customHeight="1" thickBot="1" x14ac:dyDescent="0.25">
      <c r="B10" s="62" t="s">
        <v>85</v>
      </c>
      <c r="C10" s="93">
        <v>55</v>
      </c>
      <c r="D10" s="44" t="s">
        <v>65</v>
      </c>
      <c r="F10" s="68" t="s">
        <v>67</v>
      </c>
      <c r="G10" s="5" t="s">
        <v>0</v>
      </c>
      <c r="H10" s="93">
        <v>32</v>
      </c>
      <c r="I10" s="60" t="str">
        <f>IF(H10&gt;35,"35° max","")</f>
        <v/>
      </c>
      <c r="M10" s="34"/>
      <c r="P10"/>
      <c r="Q10"/>
      <c r="R10"/>
      <c r="S10"/>
      <c r="T10"/>
      <c r="U10"/>
      <c r="V10"/>
      <c r="W10"/>
      <c r="X10"/>
      <c r="Y10"/>
      <c r="Z10"/>
      <c r="AA10"/>
      <c r="AB10" s="16"/>
      <c r="AE10" s="418" t="s">
        <v>27</v>
      </c>
      <c r="AF10" s="254">
        <v>225</v>
      </c>
      <c r="AG10" s="238">
        <v>3.2500000000000001E-2</v>
      </c>
      <c r="AI10" s="412"/>
      <c r="AJ10" s="413"/>
      <c r="AL10" s="423">
        <v>440</v>
      </c>
      <c r="AM10" s="238">
        <v>6.7500000000000004E-2</v>
      </c>
      <c r="AN10"/>
      <c r="AO10" s="412"/>
      <c r="AP10" s="413"/>
      <c r="AQ10"/>
      <c r="AR10"/>
      <c r="AS10" s="4" t="s">
        <v>297</v>
      </c>
      <c r="AT10" s="4">
        <f>C13</f>
        <v>110</v>
      </c>
      <c r="AU10" s="621">
        <v>1.1200000000000001</v>
      </c>
      <c r="AV10" s="621">
        <f t="shared" si="0"/>
        <v>123.20000000000002</v>
      </c>
    </row>
    <row r="11" spans="2:56" ht="15" customHeight="1" thickTop="1" thickBot="1" x14ac:dyDescent="0.25">
      <c r="B11" s="62" t="s">
        <v>86</v>
      </c>
      <c r="C11" s="94">
        <v>15</v>
      </c>
      <c r="D11" s="44" t="s">
        <v>65</v>
      </c>
      <c r="F11" s="68" t="s">
        <v>68</v>
      </c>
      <c r="G11" s="5" t="s">
        <v>8</v>
      </c>
      <c r="H11" s="93">
        <v>1013</v>
      </c>
      <c r="J11" s="43" t="s">
        <v>33</v>
      </c>
      <c r="K11" s="65" t="s">
        <v>57</v>
      </c>
      <c r="M11" s="34"/>
      <c r="O11" s="2" t="s">
        <v>43</v>
      </c>
      <c r="P11" s="91">
        <f>AF10+AG10*$K$9</f>
        <v>238.845</v>
      </c>
      <c r="Q11" s="91">
        <f>AF11+AG11*$K$9</f>
        <v>265.97500000000002</v>
      </c>
      <c r="R11" s="91">
        <f>AF12+AG12*$K$9</f>
        <v>298.10500000000002</v>
      </c>
      <c r="S11" s="324"/>
      <c r="T11" s="324"/>
      <c r="U11" s="324"/>
      <c r="V11" s="91">
        <f>AL10+AM10*$K$9</f>
        <v>468.755</v>
      </c>
      <c r="W11" s="91">
        <f>AL11+AM11*$K$9</f>
        <v>527.48249999999996</v>
      </c>
      <c r="X11" s="91">
        <f>AL12+AM12*$K$9</f>
        <v>568.34</v>
      </c>
      <c r="Y11" s="324"/>
      <c r="Z11" s="324"/>
      <c r="AA11" s="324"/>
      <c r="AB11" s="16"/>
      <c r="AC11" s="955" t="s">
        <v>188</v>
      </c>
      <c r="AD11" s="955"/>
      <c r="AE11" s="407" t="s">
        <v>14</v>
      </c>
      <c r="AF11" s="252">
        <v>250</v>
      </c>
      <c r="AG11" s="408">
        <v>3.7499999999999999E-2</v>
      </c>
      <c r="AI11" s="414"/>
      <c r="AJ11" s="415"/>
      <c r="AL11" s="424">
        <v>495</v>
      </c>
      <c r="AM11" s="408">
        <v>7.6249999999999998E-2</v>
      </c>
      <c r="AN11"/>
      <c r="AO11" s="414"/>
      <c r="AP11" s="415"/>
      <c r="AQ11"/>
      <c r="AR11"/>
      <c r="AS11" s="4"/>
      <c r="AT11"/>
    </row>
    <row r="12" spans="2:56" ht="15" customHeight="1" thickBot="1" x14ac:dyDescent="0.25">
      <c r="B12" s="62"/>
      <c r="C12" s="58" t="s">
        <v>87</v>
      </c>
      <c r="D12" s="44" t="s">
        <v>88</v>
      </c>
      <c r="F12" s="68"/>
      <c r="G12" s="5" t="s">
        <v>16</v>
      </c>
      <c r="H12" s="95" t="s">
        <v>64</v>
      </c>
      <c r="I12" s="79" t="str">
        <f>IF(H12&lt;&gt;"d",IF(H12&lt;&gt;"h","choisissez d ou h",""),"")</f>
        <v/>
      </c>
      <c r="J12" s="43" t="s">
        <v>32</v>
      </c>
      <c r="K12" s="66" t="s">
        <v>64</v>
      </c>
      <c r="M12" s="34"/>
      <c r="P12"/>
      <c r="Q12"/>
      <c r="R12"/>
      <c r="S12"/>
      <c r="T12"/>
      <c r="U12"/>
      <c r="V12"/>
      <c r="W12"/>
      <c r="X12"/>
      <c r="Y12"/>
      <c r="Z12"/>
      <c r="AA12"/>
      <c r="AB12" s="16"/>
      <c r="AC12" s="237"/>
      <c r="AD12" s="237"/>
      <c r="AE12" s="420" t="s">
        <v>28</v>
      </c>
      <c r="AF12" s="410">
        <v>280</v>
      </c>
      <c r="AG12" s="411">
        <v>4.2500000000000003E-2</v>
      </c>
      <c r="AI12" s="397"/>
      <c r="AJ12" s="422"/>
      <c r="AL12" s="425">
        <v>530</v>
      </c>
      <c r="AM12" s="411">
        <v>0.09</v>
      </c>
      <c r="AN12"/>
      <c r="AO12" s="421"/>
      <c r="AP12" s="422"/>
      <c r="AQ12"/>
      <c r="AR12"/>
      <c r="AS12" s="4" t="s">
        <v>92</v>
      </c>
      <c r="AT12" s="4">
        <f>SUM(AT3:AT10)</f>
        <v>1097</v>
      </c>
      <c r="AU12" s="629">
        <f>AV12/AT12</f>
        <v>0.50068550592525063</v>
      </c>
      <c r="AV12" s="621">
        <f>SUM(AV3:AV10)</f>
        <v>549.25199999999995</v>
      </c>
    </row>
    <row r="13" spans="2:56" ht="15" customHeight="1" thickTop="1" thickBot="1" x14ac:dyDescent="0.25">
      <c r="B13" s="62" t="s">
        <v>89</v>
      </c>
      <c r="C13" s="105">
        <v>110</v>
      </c>
      <c r="D13" s="59" t="str">
        <f>IF(C13&gt;110,"max 110 Li","")</f>
        <v/>
      </c>
      <c r="F13" s="68" t="s">
        <v>69</v>
      </c>
      <c r="G13" s="5" t="s">
        <v>22</v>
      </c>
      <c r="H13" s="108">
        <f>K7</f>
        <v>-4.3301270189221954</v>
      </c>
      <c r="M13" s="34"/>
      <c r="O13" s="2" t="s">
        <v>23</v>
      </c>
      <c r="P13" s="513">
        <f t="shared" ref="P13:X13" si="1">IF($K$9&gt;=4000,P11,P9)</f>
        <v>274.58499999999998</v>
      </c>
      <c r="Q13" s="514">
        <f t="shared" si="1"/>
        <v>306.1825</v>
      </c>
      <c r="R13" s="514">
        <f t="shared" si="1"/>
        <v>342.78</v>
      </c>
      <c r="S13" s="515"/>
      <c r="T13" s="515"/>
      <c r="U13" s="516"/>
      <c r="V13" s="513">
        <f t="shared" si="1"/>
        <v>549.16999999999996</v>
      </c>
      <c r="W13" s="514">
        <f t="shared" si="1"/>
        <v>612.36500000000001</v>
      </c>
      <c r="X13" s="514">
        <f t="shared" si="1"/>
        <v>680.02750000000003</v>
      </c>
      <c r="Y13" s="515"/>
      <c r="Z13" s="515"/>
      <c r="AA13" s="517"/>
      <c r="AB13" s="16"/>
      <c r="AL13" s="16"/>
      <c r="AM13" s="21"/>
      <c r="AN13"/>
      <c r="AO13"/>
      <c r="AP13"/>
      <c r="AQ13"/>
      <c r="AR13"/>
      <c r="AS13" s="4"/>
      <c r="AT13"/>
    </row>
    <row r="14" spans="2:56" ht="15" customHeight="1" thickBot="1" x14ac:dyDescent="0.25">
      <c r="B14" s="62" t="s">
        <v>194</v>
      </c>
      <c r="C14" s="105">
        <v>40</v>
      </c>
      <c r="D14" s="59" t="str">
        <f>IF(C14&gt;40,"max 40 Li","")</f>
        <v/>
      </c>
      <c r="F14" s="33"/>
      <c r="M14" s="34"/>
      <c r="O14" s="2"/>
      <c r="P14"/>
      <c r="Q14"/>
      <c r="R14"/>
      <c r="S14"/>
      <c r="T14"/>
      <c r="U14"/>
      <c r="V14"/>
      <c r="W14"/>
      <c r="X14"/>
      <c r="Y14"/>
      <c r="Z14"/>
      <c r="AA14"/>
      <c r="AB14" s="16"/>
      <c r="AL14" s="16"/>
      <c r="AM14" s="21"/>
      <c r="AN14"/>
      <c r="AO14"/>
      <c r="AP14"/>
      <c r="AQ14"/>
      <c r="AR14"/>
      <c r="AS14" s="4">
        <v>1</v>
      </c>
      <c r="AT14" s="627" t="s">
        <v>299</v>
      </c>
      <c r="AU14" s="968" t="str">
        <f>IF(AU12&lt;0.205,"Hors Centrage AV",IF(AU12&gt;0.584,"Hors Centrage AR",IF(AU12&lt;0.428,IF(AT12&gt;AU15,"Hors Centrage AV","Centrage Correct"),"Centrage Correct")))</f>
        <v>Centrage Correct</v>
      </c>
      <c r="AV14" s="969"/>
      <c r="AX14" s="968"/>
      <c r="AY14" s="969"/>
    </row>
    <row r="15" spans="2:56" ht="24.95" customHeight="1" thickBot="1" x14ac:dyDescent="0.25">
      <c r="B15" s="62" t="s">
        <v>91</v>
      </c>
      <c r="C15" s="105">
        <v>40</v>
      </c>
      <c r="D15" s="59" t="str">
        <f>IF(C15&gt;40,"max 40 Li","")</f>
        <v/>
      </c>
      <c r="F15" s="918" t="s">
        <v>207</v>
      </c>
      <c r="G15" s="919"/>
      <c r="H15" s="919"/>
      <c r="I15" s="919"/>
      <c r="J15" s="919"/>
      <c r="K15" s="919"/>
      <c r="L15" s="919"/>
      <c r="M15" s="920"/>
      <c r="O15" s="2" t="s">
        <v>106</v>
      </c>
      <c r="P15" s="401">
        <f>15-H9/1000*2</f>
        <v>14.148</v>
      </c>
      <c r="Q15" s="2"/>
      <c r="R15" s="80" t="s">
        <v>107</v>
      </c>
      <c r="S15" s="402">
        <f>H10</f>
        <v>32</v>
      </c>
      <c r="T15"/>
      <c r="U15"/>
      <c r="V15"/>
      <c r="W15"/>
      <c r="X15"/>
      <c r="Y15"/>
      <c r="Z15"/>
      <c r="AA15"/>
      <c r="AB15" s="1" t="s">
        <v>4</v>
      </c>
      <c r="AS15" s="2">
        <v>2</v>
      </c>
      <c r="AT15" s="2" t="s">
        <v>300</v>
      </c>
      <c r="AU15" s="626">
        <f>(1345.29148*AU12)+474.2152466</f>
        <v>1147.7831918807292</v>
      </c>
      <c r="AV15" s="625"/>
    </row>
    <row r="16" spans="2:56" ht="15" customHeight="1" thickBot="1" x14ac:dyDescent="0.25">
      <c r="B16" s="62"/>
      <c r="C16" s="87"/>
      <c r="D16" s="59"/>
      <c r="F16" s="33"/>
      <c r="H16" s="77" t="s">
        <v>3</v>
      </c>
      <c r="I16" s="227" t="s">
        <v>97</v>
      </c>
      <c r="M16" s="34"/>
      <c r="O16" s="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M16"/>
      <c r="AN16" s="163"/>
      <c r="AO16" s="163"/>
      <c r="AP16" s="163"/>
      <c r="AQ16" s="163"/>
      <c r="AR16"/>
      <c r="AS16" s="4"/>
    </row>
    <row r="17" spans="2:50" ht="24.95" customHeight="1" thickBot="1" x14ac:dyDescent="0.25">
      <c r="B17" s="63" t="s">
        <v>92</v>
      </c>
      <c r="D17" s="44"/>
      <c r="F17" s="33"/>
      <c r="G17" s="67" t="s">
        <v>98</v>
      </c>
      <c r="H17" s="81">
        <f>U47</f>
        <v>355.26644125231866</v>
      </c>
      <c r="I17" s="82">
        <f>V47</f>
        <v>686.58709773944474</v>
      </c>
      <c r="J17" s="69" t="s">
        <v>48</v>
      </c>
      <c r="M17" s="34"/>
      <c r="O17" s="2"/>
      <c r="P17" s="892" t="s">
        <v>45</v>
      </c>
      <c r="Q17" s="892"/>
      <c r="R17" s="5" t="s">
        <v>5</v>
      </c>
      <c r="S17" s="5" t="s">
        <v>6</v>
      </c>
      <c r="T17"/>
      <c r="U17"/>
      <c r="V17" s="892" t="s">
        <v>44</v>
      </c>
      <c r="W17" s="892"/>
      <c r="X17" s="5" t="s">
        <v>5</v>
      </c>
      <c r="Y17" s="5" t="s">
        <v>6</v>
      </c>
      <c r="Z17"/>
      <c r="AA17"/>
      <c r="AB17" s="1" t="s">
        <v>4</v>
      </c>
      <c r="AC17" s="1" t="s">
        <v>4</v>
      </c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5"/>
      <c r="AR17"/>
      <c r="AS17" s="4"/>
      <c r="AT17" s="2"/>
      <c r="AU17" s="628"/>
      <c r="AV17" s="628"/>
    </row>
    <row r="18" spans="2:50" ht="15" customHeight="1" thickBot="1" x14ac:dyDescent="0.25">
      <c r="B18" s="64" t="s">
        <v>87</v>
      </c>
      <c r="C18" s="57">
        <v>190</v>
      </c>
      <c r="D18" s="44" t="s">
        <v>88</v>
      </c>
      <c r="F18" s="33"/>
      <c r="H18" s="459" t="s">
        <v>191</v>
      </c>
      <c r="I18" s="459" t="s">
        <v>183</v>
      </c>
      <c r="M18" s="34"/>
      <c r="O18" s="2"/>
      <c r="P18" s="839" t="s">
        <v>29</v>
      </c>
      <c r="Q18" s="839"/>
      <c r="R18" s="497">
        <f>IF(S15&gt;=P15,Q13+((R13-Q13)/20)*(S15-P15),Q13-((Q13-P13)/20)*(P15-S15))</f>
        <v>338.84942849999999</v>
      </c>
      <c r="S18" s="498">
        <f>IF(S15&gt;=P15,W13+((X13-W13)/20)*(S15-P15),W13-((W13-V13)/20)*(P15-S15))</f>
        <v>672.76054750000003</v>
      </c>
      <c r="T18"/>
      <c r="U18"/>
      <c r="V18" s="839" t="s">
        <v>29</v>
      </c>
      <c r="W18" s="839"/>
      <c r="X18" s="499"/>
      <c r="Y18" s="500"/>
      <c r="Z18"/>
      <c r="AA18"/>
      <c r="AC18" s="1" t="s">
        <v>4</v>
      </c>
      <c r="AE18" s="4"/>
      <c r="AF18" s="4"/>
      <c r="AG18" s="4"/>
      <c r="AH18" s="4"/>
      <c r="AI18" s="2"/>
      <c r="AJ18" s="2"/>
      <c r="AK18" s="4"/>
      <c r="AL18" s="4"/>
      <c r="AM18" s="4"/>
      <c r="AN18" s="4"/>
      <c r="AO18" s="2"/>
      <c r="AP18" s="2"/>
      <c r="AQ18"/>
      <c r="AR18"/>
      <c r="AS18" s="4"/>
      <c r="AW18" s="1" t="s">
        <v>4</v>
      </c>
    </row>
    <row r="19" spans="2:50" ht="24.95" customHeight="1" thickBot="1" x14ac:dyDescent="0.25">
      <c r="B19" s="63" t="s">
        <v>92</v>
      </c>
      <c r="C19" s="556" t="str">
        <f>IF(C18&gt;190,"max 190 litres","")</f>
        <v/>
      </c>
      <c r="D19" s="51"/>
      <c r="F19" s="918" t="s">
        <v>208</v>
      </c>
      <c r="G19" s="919"/>
      <c r="H19" s="919"/>
      <c r="I19" s="919"/>
      <c r="J19" s="919"/>
      <c r="K19" s="919"/>
      <c r="L19" s="919"/>
      <c r="M19" s="920"/>
      <c r="O19"/>
      <c r="P19"/>
      <c r="Q19"/>
      <c r="R19"/>
      <c r="S19"/>
      <c r="T19"/>
      <c r="U19"/>
      <c r="V19"/>
      <c r="W19"/>
      <c r="X19"/>
      <c r="Y19"/>
      <c r="Z19"/>
      <c r="AA19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/>
      <c r="AS19" s="4"/>
    </row>
    <row r="20" spans="2:50" ht="15" customHeight="1" thickBot="1" x14ac:dyDescent="0.25">
      <c r="B20" s="64" t="s">
        <v>87</v>
      </c>
      <c r="C20" s="50">
        <f>C18*0.718</f>
        <v>136.41999999999999</v>
      </c>
      <c r="D20" s="55" t="s">
        <v>65</v>
      </c>
      <c r="F20" s="33"/>
      <c r="H20" s="71"/>
      <c r="I20" s="227"/>
      <c r="M20" s="34"/>
      <c r="O20"/>
      <c r="P20"/>
      <c r="Q20"/>
      <c r="R20" s="2"/>
      <c r="S20" s="2"/>
      <c r="T20"/>
      <c r="U20"/>
      <c r="V20"/>
      <c r="W20"/>
      <c r="X20" s="2"/>
      <c r="Y20" s="2"/>
      <c r="Z20"/>
      <c r="AA20"/>
      <c r="AE20"/>
      <c r="AF20"/>
      <c r="AK20"/>
      <c r="AL20"/>
      <c r="AQ20" s="2"/>
      <c r="AR20"/>
      <c r="AS20" s="4"/>
      <c r="AX20" s="1" t="s">
        <v>4</v>
      </c>
    </row>
    <row r="21" spans="2:50" ht="15" customHeight="1" thickBot="1" x14ac:dyDescent="0.25">
      <c r="B21" s="62"/>
      <c r="D21" s="51"/>
      <c r="F21" s="33"/>
      <c r="H21" s="560" t="s">
        <v>3</v>
      </c>
      <c r="I21" s="561" t="s">
        <v>97</v>
      </c>
      <c r="M21" s="34"/>
      <c r="O21"/>
      <c r="P21"/>
      <c r="Q21"/>
      <c r="R21" s="45"/>
      <c r="S21" s="45"/>
      <c r="T21"/>
      <c r="U21"/>
      <c r="V21"/>
      <c r="W21"/>
      <c r="X21" s="45"/>
      <c r="Y21" s="45"/>
      <c r="Z21"/>
      <c r="AA21"/>
      <c r="AE21"/>
      <c r="AF21"/>
      <c r="AK21"/>
      <c r="AL21"/>
      <c r="AQ21" s="2"/>
    </row>
    <row r="22" spans="2:50" ht="15" customHeight="1" thickBot="1" x14ac:dyDescent="0.25">
      <c r="B22" s="64" t="s">
        <v>93</v>
      </c>
      <c r="C22" s="88">
        <f>C5+SUM(C7:C11)+C20</f>
        <v>1042.42</v>
      </c>
      <c r="D22" s="55" t="s">
        <v>65</v>
      </c>
      <c r="F22" s="33"/>
      <c r="H22" s="73" t="s">
        <v>209</v>
      </c>
      <c r="I22" s="226" t="s">
        <v>210</v>
      </c>
      <c r="M22" s="34"/>
      <c r="O22" s="16" t="s">
        <v>18</v>
      </c>
      <c r="P22"/>
      <c r="Q22"/>
      <c r="R22"/>
      <c r="S22"/>
      <c r="T22"/>
      <c r="U22"/>
      <c r="V22"/>
      <c r="W22"/>
      <c r="X22" t="s">
        <v>4</v>
      </c>
      <c r="Y22"/>
      <c r="Z22"/>
      <c r="AA22"/>
      <c r="AE22"/>
      <c r="AF22"/>
      <c r="AG22"/>
      <c r="AH22"/>
      <c r="AI22"/>
      <c r="AJ22"/>
      <c r="AK22"/>
      <c r="AL22"/>
      <c r="AM22"/>
      <c r="AN22"/>
      <c r="AO22"/>
      <c r="AP22"/>
      <c r="AQ22" s="2"/>
    </row>
    <row r="23" spans="2:50" ht="24.95" customHeight="1" thickBot="1" x14ac:dyDescent="0.25">
      <c r="B23" s="33"/>
      <c r="C23" s="60" t="str">
        <f>IF(C22&gt;1050,"max 1050 Kg","")</f>
        <v/>
      </c>
      <c r="D23" s="34"/>
      <c r="F23" s="558"/>
      <c r="G23" s="67" t="s">
        <v>98</v>
      </c>
      <c r="H23" s="81">
        <f>IF(H12="d",P93,S93)</f>
        <v>279.81288843203919</v>
      </c>
      <c r="I23" s="82">
        <f>IF(H12="d",V93,Y93)</f>
        <v>597.13600324050003</v>
      </c>
      <c r="J23" s="69" t="s">
        <v>48</v>
      </c>
      <c r="M23" s="34"/>
      <c r="O23"/>
      <c r="P23" s="947" t="s">
        <v>10</v>
      </c>
      <c r="Q23" s="961"/>
      <c r="R23" s="961"/>
      <c r="S23" s="962" t="s">
        <v>11</v>
      </c>
      <c r="T23" s="963"/>
      <c r="U23" s="963"/>
      <c r="V23" s="957" t="s">
        <v>10</v>
      </c>
      <c r="W23" s="958"/>
      <c r="X23" s="958"/>
      <c r="Y23" s="964" t="s">
        <v>11</v>
      </c>
      <c r="Z23" s="964"/>
      <c r="AA23" s="965"/>
      <c r="AN23" s="2"/>
      <c r="AO23" s="2"/>
      <c r="AP23" s="2"/>
      <c r="AQ23" s="2"/>
    </row>
    <row r="24" spans="2:50" ht="15" customHeight="1" thickBot="1" x14ac:dyDescent="0.25">
      <c r="B24" s="624" t="s">
        <v>287</v>
      </c>
      <c r="C24" s="629">
        <f>AU12</f>
        <v>0.50068550592525063</v>
      </c>
      <c r="D24" s="34" t="s">
        <v>170</v>
      </c>
      <c r="F24" s="33"/>
      <c r="M24" s="34"/>
      <c r="O24"/>
      <c r="P24" s="429" t="s">
        <v>189</v>
      </c>
      <c r="Q24" s="430" t="s">
        <v>14</v>
      </c>
      <c r="R24" s="431" t="s">
        <v>190</v>
      </c>
      <c r="S24" s="432" t="s">
        <v>189</v>
      </c>
      <c r="T24" s="432" t="s">
        <v>14</v>
      </c>
      <c r="U24" s="443" t="s">
        <v>190</v>
      </c>
      <c r="V24" s="132" t="s">
        <v>189</v>
      </c>
      <c r="W24" s="115" t="s">
        <v>14</v>
      </c>
      <c r="X24" s="134" t="s">
        <v>190</v>
      </c>
      <c r="Y24" s="439" t="s">
        <v>189</v>
      </c>
      <c r="Z24" s="439" t="s">
        <v>14</v>
      </c>
      <c r="AA24" s="440" t="s">
        <v>190</v>
      </c>
      <c r="AN24" s="2"/>
      <c r="AO24" s="2"/>
      <c r="AP24" s="2"/>
      <c r="AQ24" s="2"/>
    </row>
    <row r="25" spans="2:50" ht="24.95" customHeight="1" thickBot="1" x14ac:dyDescent="0.25">
      <c r="B25" s="688"/>
      <c r="C25" s="691" t="str">
        <f>AU14</f>
        <v>Centrage Correct</v>
      </c>
      <c r="D25" s="689"/>
      <c r="F25" s="559"/>
      <c r="G25" s="69"/>
      <c r="H25" s="103"/>
      <c r="I25" s="103"/>
      <c r="J25" s="69"/>
      <c r="M25" s="34"/>
      <c r="O25" s="8" t="s">
        <v>1</v>
      </c>
      <c r="P25" s="212" t="s">
        <v>5</v>
      </c>
      <c r="Q25" s="17" t="s">
        <v>5</v>
      </c>
      <c r="R25" s="17" t="s">
        <v>5</v>
      </c>
      <c r="S25" s="329" t="s">
        <v>5</v>
      </c>
      <c r="T25" s="329" t="s">
        <v>5</v>
      </c>
      <c r="U25" s="444" t="s">
        <v>5</v>
      </c>
      <c r="V25" s="212" t="s">
        <v>12</v>
      </c>
      <c r="W25" s="17" t="s">
        <v>12</v>
      </c>
      <c r="X25" s="17" t="s">
        <v>12</v>
      </c>
      <c r="Y25" s="329" t="s">
        <v>12</v>
      </c>
      <c r="Z25" s="329" t="s">
        <v>12</v>
      </c>
      <c r="AA25" s="435" t="s">
        <v>12</v>
      </c>
      <c r="AF25" s="1" t="s">
        <v>40</v>
      </c>
      <c r="AI25" s="1" t="s">
        <v>41</v>
      </c>
      <c r="AL25" s="1" t="s">
        <v>185</v>
      </c>
      <c r="AM25"/>
      <c r="AN25" s="4"/>
      <c r="AO25" s="4" t="s">
        <v>186</v>
      </c>
      <c r="AP25" s="4"/>
      <c r="AQ25" s="2"/>
    </row>
    <row r="26" spans="2:50" ht="15" customHeight="1" thickTop="1" thickBot="1" x14ac:dyDescent="0.25">
      <c r="F26" s="52"/>
      <c r="G26" s="53"/>
      <c r="H26" s="53"/>
      <c r="I26" s="53"/>
      <c r="J26" s="53"/>
      <c r="K26" s="53"/>
      <c r="L26" s="53"/>
      <c r="M26" s="54"/>
      <c r="O26" s="1">
        <v>0</v>
      </c>
      <c r="P26" s="441">
        <v>170</v>
      </c>
      <c r="Q26" s="26">
        <v>185</v>
      </c>
      <c r="R26" s="26">
        <v>205</v>
      </c>
      <c r="S26" s="445"/>
      <c r="T26" s="428"/>
      <c r="U26" s="446"/>
      <c r="V26" s="441">
        <v>340</v>
      </c>
      <c r="W26" s="11">
        <v>375</v>
      </c>
      <c r="X26" s="2">
        <v>415</v>
      </c>
      <c r="Y26" s="368"/>
      <c r="Z26" s="332"/>
      <c r="AA26" s="448"/>
      <c r="AC26" s="2"/>
      <c r="AD26" s="2"/>
      <c r="AE26" s="406" t="s">
        <v>27</v>
      </c>
      <c r="AF26" s="254">
        <v>170</v>
      </c>
      <c r="AG26" s="238">
        <v>1.2500000000000001E-2</v>
      </c>
      <c r="AH26" s="2"/>
      <c r="AI26" s="412"/>
      <c r="AJ26" s="413"/>
      <c r="AL26" s="423">
        <v>340</v>
      </c>
      <c r="AM26" s="238">
        <v>2.6249999999999999E-2</v>
      </c>
      <c r="AN26"/>
      <c r="AO26" s="412"/>
      <c r="AP26" s="413"/>
      <c r="AQ26" s="2"/>
    </row>
    <row r="27" spans="2:50" ht="15" customHeight="1" thickTop="1" x14ac:dyDescent="0.2">
      <c r="O27" s="27">
        <v>4000</v>
      </c>
      <c r="P27" s="390">
        <v>220</v>
      </c>
      <c r="Q27" s="26">
        <v>250</v>
      </c>
      <c r="R27" s="26">
        <v>275</v>
      </c>
      <c r="S27" s="446"/>
      <c r="T27" s="330"/>
      <c r="U27" s="446"/>
      <c r="V27" s="390">
        <v>445</v>
      </c>
      <c r="W27" s="450">
        <v>500</v>
      </c>
      <c r="X27" s="2">
        <v>550</v>
      </c>
      <c r="Y27" s="330"/>
      <c r="Z27" s="332"/>
      <c r="AA27" s="448"/>
      <c r="AC27" s="839" t="s">
        <v>187</v>
      </c>
      <c r="AD27" s="956"/>
      <c r="AE27" s="407" t="s">
        <v>14</v>
      </c>
      <c r="AF27" s="252">
        <v>185</v>
      </c>
      <c r="AG27" s="408">
        <v>1.6250000000000001E-2</v>
      </c>
      <c r="AI27" s="414"/>
      <c r="AJ27" s="415"/>
      <c r="AL27" s="424">
        <v>375</v>
      </c>
      <c r="AM27" s="408">
        <v>3.125E-2</v>
      </c>
      <c r="AN27"/>
      <c r="AO27" s="414"/>
      <c r="AP27" s="415"/>
      <c r="AQ27" s="2"/>
    </row>
    <row r="28" spans="2:50" ht="15" customHeight="1" thickBot="1" x14ac:dyDescent="0.25">
      <c r="H28"/>
      <c r="O28" s="27">
        <v>8000</v>
      </c>
      <c r="P28" s="391">
        <v>300</v>
      </c>
      <c r="Q28" s="442">
        <v>340</v>
      </c>
      <c r="R28" s="442">
        <v>380</v>
      </c>
      <c r="S28" s="447"/>
      <c r="T28" s="352"/>
      <c r="U28" s="447"/>
      <c r="V28" s="391">
        <v>605</v>
      </c>
      <c r="W28" s="451">
        <v>675</v>
      </c>
      <c r="X28" s="327">
        <v>750</v>
      </c>
      <c r="Y28" s="352"/>
      <c r="Z28" s="351"/>
      <c r="AA28" s="449"/>
      <c r="AE28" s="409" t="s">
        <v>28</v>
      </c>
      <c r="AF28" s="410">
        <v>205</v>
      </c>
      <c r="AG28" s="411">
        <v>1.7500000000000002E-2</v>
      </c>
      <c r="AI28" s="416"/>
      <c r="AJ28" s="417"/>
      <c r="AL28" s="425">
        <v>415</v>
      </c>
      <c r="AM28" s="411">
        <v>3.3750000000000002E-2</v>
      </c>
      <c r="AN28"/>
      <c r="AO28" s="426"/>
      <c r="AP28" s="427"/>
    </row>
    <row r="29" spans="2:50" ht="15" customHeight="1" x14ac:dyDescent="0.2">
      <c r="H29" s="228"/>
      <c r="P29"/>
      <c r="Q29"/>
      <c r="R29"/>
      <c r="S29"/>
      <c r="T29"/>
      <c r="U29"/>
      <c r="V29"/>
      <c r="W29"/>
      <c r="X29"/>
      <c r="Y29"/>
      <c r="Z29"/>
      <c r="AA29"/>
      <c r="AL29" s="16"/>
      <c r="AM29" s="21"/>
      <c r="AN29"/>
      <c r="AO29"/>
      <c r="AP29"/>
      <c r="AQ29" s="163"/>
    </row>
    <row r="30" spans="2:50" ht="15" customHeight="1" thickBot="1" x14ac:dyDescent="0.25">
      <c r="H30" s="228"/>
      <c r="I30" s="99"/>
      <c r="O30" s="2" t="s">
        <v>42</v>
      </c>
      <c r="P30" s="96">
        <f>AF26+AG26*$K$9</f>
        <v>175.32499999999999</v>
      </c>
      <c r="Q30" s="96">
        <f>AF27+AG27*$K$9</f>
        <v>191.92250000000001</v>
      </c>
      <c r="R30" s="96">
        <f>AF28+AG28*$K$9</f>
        <v>212.45500000000001</v>
      </c>
      <c r="S30" s="380"/>
      <c r="T30" s="380"/>
      <c r="U30" s="380"/>
      <c r="V30" s="96">
        <f>AL26+AM26*$K$9</f>
        <v>351.1825</v>
      </c>
      <c r="W30" s="96">
        <f>AL27+AM27*$K$9</f>
        <v>388.3125</v>
      </c>
      <c r="X30" s="96">
        <f>AL28+AM28*$K$9</f>
        <v>429.3775</v>
      </c>
      <c r="Y30" s="380"/>
      <c r="Z30" s="380"/>
      <c r="AA30" s="380"/>
      <c r="AC30" s="237"/>
      <c r="AD30" s="237"/>
      <c r="AE30" s="405"/>
      <c r="AF30" s="237" t="s">
        <v>40</v>
      </c>
      <c r="AG30" s="237"/>
      <c r="AH30" s="237"/>
      <c r="AI30" s="237" t="s">
        <v>41</v>
      </c>
      <c r="AJ30" s="237"/>
      <c r="AK30" s="237"/>
      <c r="AL30" s="237" t="s">
        <v>186</v>
      </c>
      <c r="AM30" s="237"/>
      <c r="AN30" s="237"/>
      <c r="AO30" t="s">
        <v>186</v>
      </c>
      <c r="AP30"/>
      <c r="AQ30" s="5"/>
    </row>
    <row r="31" spans="2:50" ht="15" customHeight="1" x14ac:dyDescent="0.2">
      <c r="H31" s="228"/>
      <c r="I31" s="1" t="s">
        <v>4</v>
      </c>
      <c r="P31"/>
      <c r="Q31"/>
      <c r="R31"/>
      <c r="S31"/>
      <c r="T31"/>
      <c r="U31"/>
      <c r="V31"/>
      <c r="W31"/>
      <c r="X31"/>
      <c r="Y31"/>
      <c r="Z31"/>
      <c r="AA31"/>
      <c r="AE31" s="418" t="s">
        <v>27</v>
      </c>
      <c r="AF31" s="254">
        <v>140</v>
      </c>
      <c r="AG31" s="238">
        <v>0.02</v>
      </c>
      <c r="AI31" s="412"/>
      <c r="AJ31" s="413"/>
      <c r="AL31" s="423">
        <v>285</v>
      </c>
      <c r="AM31" s="238">
        <v>0.04</v>
      </c>
      <c r="AN31"/>
      <c r="AO31" s="412"/>
      <c r="AP31" s="413"/>
      <c r="AQ31"/>
    </row>
    <row r="32" spans="2:50" ht="15" customHeight="1" x14ac:dyDescent="0.2">
      <c r="O32" s="2" t="s">
        <v>43</v>
      </c>
      <c r="P32" s="91">
        <f>AF31+AG31*$K$9</f>
        <v>148.52000000000001</v>
      </c>
      <c r="Q32" s="91">
        <f>AF32+AG32*$K$9</f>
        <v>169.58500000000001</v>
      </c>
      <c r="R32" s="91">
        <f>AF33+AG33*$K$9</f>
        <v>181.1825</v>
      </c>
      <c r="S32" s="324"/>
      <c r="T32" s="324"/>
      <c r="U32" s="324"/>
      <c r="V32" s="91">
        <f>AL31+AM31*$K$9</f>
        <v>302.04000000000002</v>
      </c>
      <c r="W32" s="91">
        <f>AL32+AM32*$K$9</f>
        <v>343.63749999999999</v>
      </c>
      <c r="X32" s="91">
        <f>AL33+AM33*$K$9</f>
        <v>371.3</v>
      </c>
      <c r="Y32" s="324"/>
      <c r="Z32" s="324"/>
      <c r="AA32" s="324"/>
      <c r="AC32" s="955" t="s">
        <v>188</v>
      </c>
      <c r="AD32" s="955"/>
      <c r="AE32" s="419" t="s">
        <v>14</v>
      </c>
      <c r="AF32" s="252">
        <v>160</v>
      </c>
      <c r="AG32" s="408">
        <v>2.2499999999999999E-2</v>
      </c>
      <c r="AI32" s="414"/>
      <c r="AJ32" s="415"/>
      <c r="AL32" s="424">
        <v>325</v>
      </c>
      <c r="AM32" s="408">
        <v>4.3749999999999997E-2</v>
      </c>
      <c r="AN32"/>
      <c r="AO32" s="414"/>
      <c r="AP32" s="415"/>
      <c r="AQ32" s="2"/>
    </row>
    <row r="33" spans="15:45" ht="15" customHeight="1" thickBot="1" x14ac:dyDescent="0.25">
      <c r="P33"/>
      <c r="Q33"/>
      <c r="R33"/>
      <c r="S33"/>
      <c r="T33"/>
      <c r="U33"/>
      <c r="V33"/>
      <c r="W33"/>
      <c r="X33"/>
      <c r="Y33"/>
      <c r="Z33"/>
      <c r="AA33"/>
      <c r="AC33" s="237"/>
      <c r="AD33" s="237"/>
      <c r="AE33" s="420" t="s">
        <v>28</v>
      </c>
      <c r="AF33" s="410">
        <v>170</v>
      </c>
      <c r="AG33" s="411">
        <v>2.6249999999999999E-2</v>
      </c>
      <c r="AI33" s="397"/>
      <c r="AJ33" s="422"/>
      <c r="AL33" s="425">
        <v>350</v>
      </c>
      <c r="AM33" s="411">
        <v>0.05</v>
      </c>
      <c r="AN33"/>
      <c r="AO33" s="421"/>
      <c r="AP33" s="422"/>
      <c r="AQ33" s="2"/>
    </row>
    <row r="34" spans="15:45" ht="15" customHeight="1" thickBot="1" x14ac:dyDescent="0.25">
      <c r="O34" s="2" t="s">
        <v>23</v>
      </c>
      <c r="P34" s="513">
        <f t="shared" ref="P34:X34" si="2">IF($K$9&gt;=4000,P32,P30)</f>
        <v>175.32499999999999</v>
      </c>
      <c r="Q34" s="514">
        <f t="shared" si="2"/>
        <v>191.92250000000001</v>
      </c>
      <c r="R34" s="514">
        <f t="shared" si="2"/>
        <v>212.45500000000001</v>
      </c>
      <c r="S34" s="515"/>
      <c r="T34" s="515"/>
      <c r="U34" s="516"/>
      <c r="V34" s="513">
        <f t="shared" si="2"/>
        <v>351.1825</v>
      </c>
      <c r="W34" s="514">
        <f t="shared" si="2"/>
        <v>388.3125</v>
      </c>
      <c r="X34" s="514">
        <f t="shared" si="2"/>
        <v>429.3775</v>
      </c>
      <c r="Y34" s="515"/>
      <c r="Z34" s="515"/>
      <c r="AA34" s="517"/>
      <c r="AN34" s="2"/>
      <c r="AO34" s="2"/>
      <c r="AP34" s="2"/>
      <c r="AQ34" s="2"/>
    </row>
    <row r="35" spans="15:45" ht="15" customHeight="1" x14ac:dyDescent="0.2">
      <c r="O35" s="2"/>
      <c r="P35"/>
      <c r="Q35"/>
      <c r="R35"/>
      <c r="S35"/>
      <c r="T35"/>
      <c r="U35"/>
      <c r="V35"/>
      <c r="W35"/>
      <c r="X35"/>
      <c r="Y35"/>
      <c r="Z35"/>
      <c r="AA35"/>
    </row>
    <row r="36" spans="15:45" ht="15" customHeight="1" x14ac:dyDescent="0.2">
      <c r="P36"/>
      <c r="Q36"/>
      <c r="R36"/>
      <c r="S36"/>
      <c r="T36"/>
      <c r="U36"/>
      <c r="V36"/>
      <c r="W36"/>
      <c r="X36"/>
      <c r="Y36"/>
      <c r="Z36"/>
      <c r="AA36"/>
      <c r="AB36" s="1" t="s">
        <v>4</v>
      </c>
      <c r="AN36" s="163"/>
      <c r="AO36" s="163"/>
      <c r="AP36" s="163"/>
      <c r="AQ36" s="163"/>
    </row>
    <row r="37" spans="15:45" ht="15" customHeight="1" thickBot="1" x14ac:dyDescent="0.25">
      <c r="O37" s="2"/>
      <c r="P37" s="892" t="s">
        <v>45</v>
      </c>
      <c r="Q37" s="892"/>
      <c r="R37" s="5" t="s">
        <v>5</v>
      </c>
      <c r="S37" s="5" t="s">
        <v>6</v>
      </c>
      <c r="T37"/>
      <c r="U37"/>
      <c r="V37" s="892" t="s">
        <v>44</v>
      </c>
      <c r="W37" s="892"/>
      <c r="X37" s="5" t="s">
        <v>5</v>
      </c>
      <c r="Y37" s="5" t="s">
        <v>6</v>
      </c>
      <c r="Z37"/>
      <c r="AA37"/>
      <c r="AC37" s="1" t="s">
        <v>4</v>
      </c>
      <c r="AN37" s="5"/>
      <c r="AO37" s="5"/>
      <c r="AP37" s="5"/>
      <c r="AQ37" s="5"/>
    </row>
    <row r="38" spans="15:45" ht="15" customHeight="1" thickBot="1" x14ac:dyDescent="0.25">
      <c r="O38"/>
      <c r="P38" s="839" t="s">
        <v>29</v>
      </c>
      <c r="Q38" s="839"/>
      <c r="R38" s="497">
        <f>IF(S15&gt;=P15,Q34+((R34-Q34)/20)*(S15-P15),Q34-((Q34-P34)/20)*(P15-S15))</f>
        <v>210.24980950000003</v>
      </c>
      <c r="S38" s="501">
        <f>IF(S15&gt;=P15,W34+((X34-W34)/20)*(S15-P15),W34-((W34-V34)/20)*(P15-S15))</f>
        <v>424.96711900000003</v>
      </c>
      <c r="T38"/>
      <c r="U38" t="s">
        <v>4</v>
      </c>
      <c r="V38" s="839" t="s">
        <v>29</v>
      </c>
      <c r="W38" s="839"/>
      <c r="X38" s="502"/>
      <c r="Y38" s="503"/>
      <c r="Z38"/>
      <c r="AA38"/>
      <c r="AN38"/>
      <c r="AO38"/>
      <c r="AP38"/>
      <c r="AQ38"/>
    </row>
    <row r="39" spans="15:45" ht="15" customHeight="1" x14ac:dyDescent="0.2">
      <c r="O39"/>
      <c r="P39"/>
      <c r="Q39"/>
      <c r="R39"/>
      <c r="S39"/>
      <c r="T39"/>
      <c r="U39"/>
      <c r="V39"/>
      <c r="W39"/>
      <c r="X39"/>
      <c r="Y39"/>
      <c r="Z39"/>
      <c r="AA39" t="s">
        <v>4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5:45" ht="15" customHeight="1" thickBot="1" x14ac:dyDescent="0.25">
      <c r="O40"/>
      <c r="P40"/>
      <c r="Q40"/>
      <c r="R40" s="5" t="s">
        <v>5</v>
      </c>
      <c r="S40" s="5" t="s">
        <v>6</v>
      </c>
      <c r="T40"/>
      <c r="U40"/>
      <c r="V40" t="s">
        <v>4</v>
      </c>
      <c r="W40"/>
      <c r="X40" s="5" t="s">
        <v>5</v>
      </c>
      <c r="Y40" s="5" t="s">
        <v>6</v>
      </c>
      <c r="Z40"/>
      <c r="AA40" t="s">
        <v>4</v>
      </c>
      <c r="AE40" s="4"/>
      <c r="AF40" s="4"/>
      <c r="AG40" s="4"/>
      <c r="AH40" s="4"/>
      <c r="AI40" s="2"/>
      <c r="AJ40" s="2"/>
      <c r="AK40" s="4"/>
      <c r="AL40" s="4"/>
      <c r="AM40" s="4"/>
      <c r="AN40" s="4"/>
      <c r="AO40" s="2"/>
      <c r="AP40" s="2"/>
    </row>
    <row r="41" spans="15:45" ht="15" customHeight="1" thickBot="1" x14ac:dyDescent="0.25">
      <c r="O41"/>
      <c r="P41" s="890" t="s">
        <v>25</v>
      </c>
      <c r="Q41" s="891"/>
      <c r="R41" s="505">
        <f>R38+((R18-R38)/200)*(H8-850)</f>
        <v>333.97550293990003</v>
      </c>
      <c r="S41" s="505">
        <f>S38+((S18-S38)/200)*(H8-850)</f>
        <v>663.36917655985008</v>
      </c>
      <c r="T41"/>
      <c r="U41"/>
      <c r="V41" s="890" t="s">
        <v>25</v>
      </c>
      <c r="W41" s="891"/>
      <c r="X41" s="504">
        <f>R41*1.15</f>
        <v>384.07182838088499</v>
      </c>
      <c r="Y41" s="504">
        <f>S41*1.15</f>
        <v>762.87455304382752</v>
      </c>
      <c r="Z41"/>
      <c r="AA41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5"/>
      <c r="AR41" s="5"/>
      <c r="AS41" s="5"/>
    </row>
    <row r="42" spans="15:45" ht="15" customHeight="1" x14ac:dyDescent="0.2">
      <c r="P42"/>
      <c r="Q42"/>
      <c r="R42"/>
      <c r="S42"/>
      <c r="T42"/>
      <c r="U42"/>
      <c r="V42"/>
      <c r="W42"/>
      <c r="X42"/>
      <c r="Y42"/>
      <c r="Z42"/>
      <c r="AA42"/>
      <c r="AE42" s="4"/>
      <c r="AF42" s="4"/>
      <c r="AG42" s="2"/>
      <c r="AH42" s="2"/>
      <c r="AI42" s="2"/>
      <c r="AJ42" s="2"/>
      <c r="AK42" s="4"/>
      <c r="AL42" s="4"/>
      <c r="AM42" s="2"/>
      <c r="AN42" s="2"/>
      <c r="AO42" s="2"/>
      <c r="AP42" s="2"/>
    </row>
    <row r="43" spans="15:45" ht="15" customHeight="1" thickBot="1" x14ac:dyDescent="0.25">
      <c r="P43"/>
      <c r="Q43"/>
      <c r="R43" s="5"/>
      <c r="S43"/>
      <c r="T43"/>
      <c r="U43" s="5" t="s">
        <v>5</v>
      </c>
      <c r="V43" s="5" t="s">
        <v>6</v>
      </c>
      <c r="W43"/>
      <c r="X43" s="5"/>
      <c r="Y43" s="5"/>
      <c r="Z43"/>
      <c r="AA43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R43" s="268"/>
    </row>
    <row r="44" spans="15:45" ht="15" customHeight="1" thickBot="1" x14ac:dyDescent="0.25">
      <c r="P44"/>
      <c r="Q44"/>
      <c r="R44" s="46"/>
      <c r="S44" s="890" t="s">
        <v>46</v>
      </c>
      <c r="T44" s="891"/>
      <c r="U44" s="505">
        <f>IF(H12="D",R41,X41)</f>
        <v>384.07182838088499</v>
      </c>
      <c r="V44" s="505">
        <f>IF(H12="D",S41,Y41)</f>
        <v>762.87455304382752</v>
      </c>
      <c r="W44"/>
      <c r="X44" s="46"/>
      <c r="Y44" s="46"/>
      <c r="Z44"/>
      <c r="AA44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R44" s="43"/>
    </row>
    <row r="45" spans="15:45" ht="15" customHeight="1" x14ac:dyDescent="0.2">
      <c r="P45"/>
      <c r="Q45"/>
      <c r="R45"/>
      <c r="S45"/>
      <c r="T45"/>
      <c r="U45"/>
      <c r="V45"/>
      <c r="W45"/>
      <c r="X45"/>
      <c r="Y45"/>
      <c r="Z45"/>
      <c r="AA45"/>
      <c r="AN45" s="5"/>
      <c r="AP45" s="43"/>
      <c r="AR45" s="268"/>
    </row>
    <row r="46" spans="15:45" ht="15" customHeight="1" thickBot="1" x14ac:dyDescent="0.25">
      <c r="O46" s="1" t="s">
        <v>4</v>
      </c>
      <c r="P46" t="s">
        <v>4</v>
      </c>
      <c r="Q46"/>
      <c r="R46"/>
      <c r="S46"/>
      <c r="T46"/>
      <c r="U46" s="5" t="s">
        <v>5</v>
      </c>
      <c r="V46" s="5" t="s">
        <v>6</v>
      </c>
      <c r="W46"/>
      <c r="X46"/>
      <c r="Y46"/>
      <c r="Z46"/>
      <c r="AA46"/>
      <c r="AM46" s="1" t="s">
        <v>4</v>
      </c>
    </row>
    <row r="47" spans="15:45" ht="15" customHeight="1" thickBot="1" x14ac:dyDescent="0.25">
      <c r="O47"/>
      <c r="P47"/>
      <c r="Q47" s="492">
        <f>H13</f>
        <v>-4.3301270189221954</v>
      </c>
      <c r="R47" s="494">
        <f>-INT(H13)</f>
        <v>5</v>
      </c>
      <c r="S47" s="890" t="s">
        <v>26</v>
      </c>
      <c r="T47" s="891"/>
      <c r="U47" s="506">
        <f>IF(Q47&gt;0,((Q47/20)*U44)+U44,IF(H13&gt;=-10,(1-0.015*R47)*U44,IF(H13&gt;=-20,(1.05-0.02*R47)*U44,(0.85-0.01*R47)*U44)))</f>
        <v>355.26644125231866</v>
      </c>
      <c r="V47" s="507">
        <f>IF(Q47&gt;0,((Q47/20)*V44)+V44,IF(H13&gt;=-10,(1-0.02*R47)*V44,IF(H13&gt;=-20,(0.94-0.014*R47)*V44,(0.88-0.011*R47)*V44)))</f>
        <v>686.58709773944474</v>
      </c>
      <c r="W47"/>
      <c r="X47"/>
      <c r="Y47"/>
      <c r="Z47"/>
      <c r="AA47"/>
      <c r="AN47" s="5"/>
      <c r="AO47" s="5"/>
      <c r="AP47" s="5"/>
      <c r="AQ47" s="5"/>
    </row>
    <row r="48" spans="15:45" ht="15" customHeight="1" x14ac:dyDescent="0.2">
      <c r="O48"/>
      <c r="P48"/>
      <c r="Q48"/>
      <c r="R48"/>
      <c r="S48"/>
      <c r="T48"/>
      <c r="U48"/>
      <c r="V48"/>
      <c r="W48"/>
      <c r="X48"/>
      <c r="Y48"/>
      <c r="Z48"/>
      <c r="AA48"/>
      <c r="AN48" s="5"/>
      <c r="AO48" s="5"/>
      <c r="AP48" s="5"/>
      <c r="AQ48" s="5"/>
    </row>
    <row r="49" spans="15:43" ht="15" customHeight="1" x14ac:dyDescent="0.2">
      <c r="O49" s="21" t="s">
        <v>61</v>
      </c>
      <c r="P49"/>
      <c r="Q49"/>
      <c r="R49"/>
      <c r="S49"/>
      <c r="T49"/>
      <c r="U49" s="5"/>
      <c r="V49" s="5"/>
      <c r="W49"/>
      <c r="X49"/>
      <c r="Y49"/>
      <c r="Z49"/>
      <c r="AA49"/>
      <c r="AN49"/>
      <c r="AO49"/>
      <c r="AP49"/>
      <c r="AQ49"/>
    </row>
    <row r="50" spans="15:43" ht="15" customHeight="1" x14ac:dyDescent="0.2">
      <c r="O50"/>
      <c r="P50" s="887" t="s">
        <v>34</v>
      </c>
      <c r="Q50" s="888"/>
      <c r="R50" s="888"/>
      <c r="S50" s="888"/>
      <c r="T50" s="888"/>
      <c r="U50" s="889"/>
      <c r="V50" s="887" t="s">
        <v>35</v>
      </c>
      <c r="W50" s="888"/>
      <c r="X50" s="888"/>
      <c r="Y50" s="888"/>
      <c r="Z50" s="888"/>
      <c r="AA50" s="889"/>
      <c r="AI50" s="1" t="s">
        <v>4</v>
      </c>
    </row>
    <row r="51" spans="15:43" ht="15" customHeight="1" x14ac:dyDescent="0.2">
      <c r="O51"/>
      <c r="P51" s="887" t="s">
        <v>36</v>
      </c>
      <c r="Q51" s="888"/>
      <c r="R51" s="889"/>
      <c r="S51" s="886" t="s">
        <v>37</v>
      </c>
      <c r="T51" s="886"/>
      <c r="U51" s="886"/>
      <c r="V51" s="885" t="s">
        <v>36</v>
      </c>
      <c r="W51" s="885"/>
      <c r="X51" s="885"/>
      <c r="Y51" s="886" t="s">
        <v>37</v>
      </c>
      <c r="Z51" s="886"/>
      <c r="AA51" s="886"/>
    </row>
    <row r="52" spans="15:43" ht="15" customHeight="1" x14ac:dyDescent="0.2">
      <c r="O52"/>
      <c r="P52" s="887" t="s">
        <v>38</v>
      </c>
      <c r="Q52" s="888"/>
      <c r="R52" s="889"/>
      <c r="S52" s="886" t="s">
        <v>39</v>
      </c>
      <c r="T52" s="886"/>
      <c r="U52" s="886"/>
      <c r="V52" s="885" t="s">
        <v>38</v>
      </c>
      <c r="W52" s="885"/>
      <c r="X52" s="885"/>
      <c r="Y52" s="886" t="s">
        <v>39</v>
      </c>
      <c r="Z52" s="886"/>
      <c r="AA52" s="886"/>
      <c r="AN52" s="5"/>
      <c r="AO52" s="5"/>
    </row>
    <row r="53" spans="15:43" ht="15" customHeight="1" thickBot="1" x14ac:dyDescent="0.25">
      <c r="O53" t="s">
        <v>1</v>
      </c>
      <c r="P53" s="23" t="s">
        <v>27</v>
      </c>
      <c r="Q53" s="23" t="s">
        <v>14</v>
      </c>
      <c r="R53" s="23" t="s">
        <v>28</v>
      </c>
      <c r="S53" s="368" t="s">
        <v>27</v>
      </c>
      <c r="T53" s="368" t="s">
        <v>14</v>
      </c>
      <c r="U53" s="368" t="s">
        <v>28</v>
      </c>
      <c r="V53" s="23" t="s">
        <v>27</v>
      </c>
      <c r="W53" s="23" t="s">
        <v>14</v>
      </c>
      <c r="X53" s="23" t="s">
        <v>28</v>
      </c>
      <c r="Y53" s="368" t="s">
        <v>27</v>
      </c>
      <c r="Z53" s="368" t="s">
        <v>14</v>
      </c>
      <c r="AA53" s="454" t="s">
        <v>28</v>
      </c>
      <c r="AG53" s="1" t="s">
        <v>40</v>
      </c>
      <c r="AJ53" s="1" t="s">
        <v>41</v>
      </c>
      <c r="AM53" s="1" t="s">
        <v>185</v>
      </c>
      <c r="AN53"/>
      <c r="AO53" s="4"/>
      <c r="AP53" s="4" t="s">
        <v>186</v>
      </c>
      <c r="AQ53" s="4"/>
    </row>
    <row r="54" spans="15:43" ht="15" customHeight="1" x14ac:dyDescent="0.2">
      <c r="O54" s="36">
        <v>0</v>
      </c>
      <c r="P54" s="38">
        <v>230</v>
      </c>
      <c r="Q54" s="38">
        <v>250</v>
      </c>
      <c r="R54" s="18">
        <v>270</v>
      </c>
      <c r="S54" s="369"/>
      <c r="T54" s="369"/>
      <c r="U54" s="369"/>
      <c r="V54" s="18">
        <v>510</v>
      </c>
      <c r="W54" s="39">
        <v>545</v>
      </c>
      <c r="X54" s="39">
        <v>575</v>
      </c>
      <c r="Y54" s="370"/>
      <c r="Z54" s="370"/>
      <c r="AA54" s="466"/>
      <c r="AC54" s="2"/>
      <c r="AD54" s="2"/>
      <c r="AE54" s="460" t="s">
        <v>27</v>
      </c>
      <c r="AF54" s="237"/>
      <c r="AG54" s="423">
        <v>230</v>
      </c>
      <c r="AH54" s="238">
        <v>7.4999999999999997E-3</v>
      </c>
      <c r="AI54" s="2"/>
      <c r="AJ54" s="412"/>
      <c r="AK54" s="413"/>
      <c r="AM54" s="423">
        <v>510</v>
      </c>
      <c r="AN54" s="238">
        <v>1.375E-2</v>
      </c>
      <c r="AO54"/>
      <c r="AP54" s="412"/>
      <c r="AQ54" s="413"/>
    </row>
    <row r="55" spans="15:43" ht="15" customHeight="1" x14ac:dyDescent="0.2">
      <c r="O55" s="37">
        <v>4000</v>
      </c>
      <c r="P55" s="6">
        <v>260</v>
      </c>
      <c r="Q55" s="6">
        <v>280</v>
      </c>
      <c r="R55" s="12">
        <v>300</v>
      </c>
      <c r="S55" s="320"/>
      <c r="T55" s="320"/>
      <c r="U55" s="320"/>
      <c r="V55" s="12">
        <v>565</v>
      </c>
      <c r="W55" s="25">
        <v>600</v>
      </c>
      <c r="X55" s="25">
        <v>635</v>
      </c>
      <c r="Y55" s="371"/>
      <c r="Z55" s="371"/>
      <c r="AA55" s="467"/>
      <c r="AC55" s="839" t="s">
        <v>187</v>
      </c>
      <c r="AD55" s="956"/>
      <c r="AE55" s="461" t="s">
        <v>14</v>
      </c>
      <c r="AF55" s="237"/>
      <c r="AG55" s="424">
        <v>250</v>
      </c>
      <c r="AH55" s="408">
        <v>7.4999999999999997E-3</v>
      </c>
      <c r="AJ55" s="414"/>
      <c r="AK55" s="415"/>
      <c r="AM55" s="424">
        <v>545</v>
      </c>
      <c r="AN55" s="408">
        <v>1.375E-2</v>
      </c>
      <c r="AO55"/>
      <c r="AP55" s="414"/>
      <c r="AQ55" s="415"/>
    </row>
    <row r="56" spans="15:43" ht="15" customHeight="1" thickBot="1" x14ac:dyDescent="0.25">
      <c r="O56" s="36">
        <v>8000</v>
      </c>
      <c r="P56" s="40">
        <v>295</v>
      </c>
      <c r="Q56" s="40">
        <v>320</v>
      </c>
      <c r="R56" s="13">
        <v>340</v>
      </c>
      <c r="S56" s="321"/>
      <c r="T56" s="321"/>
      <c r="U56" s="321"/>
      <c r="V56" s="13">
        <v>620</v>
      </c>
      <c r="W56" s="24">
        <v>660</v>
      </c>
      <c r="X56" s="24">
        <v>700</v>
      </c>
      <c r="Y56" s="372"/>
      <c r="Z56" s="372"/>
      <c r="AA56" s="468"/>
      <c r="AE56" s="462" t="s">
        <v>28</v>
      </c>
      <c r="AF56" s="237"/>
      <c r="AG56" s="425">
        <v>270</v>
      </c>
      <c r="AH56" s="411">
        <v>7.4999999999999997E-3</v>
      </c>
      <c r="AJ56" s="416"/>
      <c r="AK56" s="417"/>
      <c r="AM56" s="425">
        <v>575</v>
      </c>
      <c r="AN56" s="411">
        <v>1.4999999999999999E-2</v>
      </c>
      <c r="AO56"/>
      <c r="AP56" s="426"/>
      <c r="AQ56" s="427"/>
    </row>
    <row r="57" spans="15:43" ht="15" customHeight="1" x14ac:dyDescent="0.2">
      <c r="O57" s="2"/>
      <c r="R57"/>
      <c r="S57"/>
      <c r="T57"/>
      <c r="U57"/>
      <c r="V57"/>
      <c r="W57"/>
      <c r="X57"/>
      <c r="Y57"/>
      <c r="Z57"/>
      <c r="AA57"/>
      <c r="AM57" s="16"/>
      <c r="AN57" s="21"/>
      <c r="AO57"/>
      <c r="AP57"/>
      <c r="AQ57"/>
    </row>
    <row r="58" spans="15:43" ht="15" customHeight="1" thickBot="1" x14ac:dyDescent="0.25">
      <c r="O58" s="2" t="s">
        <v>59</v>
      </c>
      <c r="P58" s="518">
        <f>AG54+AH54*$K$9</f>
        <v>233.19499999999999</v>
      </c>
      <c r="Q58" s="518">
        <f>AG55+AH55*$K$9</f>
        <v>253.19499999999999</v>
      </c>
      <c r="R58" s="91">
        <f>AG56+AH56*$K$9</f>
        <v>273.19499999999999</v>
      </c>
      <c r="S58" s="519"/>
      <c r="T58" s="519"/>
      <c r="U58" s="324"/>
      <c r="V58" s="518">
        <f>AM54+AN54*$K$9</f>
        <v>515.85749999999996</v>
      </c>
      <c r="W58" s="518">
        <f>AM55+AN55*$K$9</f>
        <v>550.85749999999996</v>
      </c>
      <c r="X58" s="91">
        <f>AM56+AN56*$K$9</f>
        <v>581.39</v>
      </c>
      <c r="Y58" s="519"/>
      <c r="Z58" s="519"/>
      <c r="AA58" s="324"/>
      <c r="AC58" s="237"/>
      <c r="AD58" s="237"/>
      <c r="AE58" s="405"/>
      <c r="AF58" s="237"/>
      <c r="AG58" s="237" t="s">
        <v>40</v>
      </c>
      <c r="AH58" s="237"/>
      <c r="AI58" s="237"/>
      <c r="AJ58" s="237" t="s">
        <v>41</v>
      </c>
      <c r="AK58" s="237"/>
      <c r="AL58" s="237"/>
      <c r="AM58" s="237" t="s">
        <v>186</v>
      </c>
      <c r="AN58" s="237"/>
      <c r="AO58" s="237"/>
      <c r="AP58" t="s">
        <v>186</v>
      </c>
      <c r="AQ58"/>
    </row>
    <row r="59" spans="15:43" ht="15" customHeight="1" x14ac:dyDescent="0.2">
      <c r="O59" s="2"/>
      <c r="R59"/>
      <c r="S59"/>
      <c r="T59"/>
      <c r="U59"/>
      <c r="V59"/>
      <c r="W59"/>
      <c r="X59"/>
      <c r="Y59"/>
      <c r="Z59"/>
      <c r="AA59"/>
      <c r="AE59" s="463" t="s">
        <v>27</v>
      </c>
      <c r="AF59" s="237"/>
      <c r="AG59" s="423">
        <v>225</v>
      </c>
      <c r="AH59" s="238">
        <v>8.7500000000000008E-3</v>
      </c>
      <c r="AJ59" s="412"/>
      <c r="AK59" s="413"/>
      <c r="AM59" s="423">
        <v>510</v>
      </c>
      <c r="AN59" s="238">
        <v>1.375E-2</v>
      </c>
      <c r="AO59"/>
      <c r="AP59" s="412"/>
      <c r="AQ59" s="413"/>
    </row>
    <row r="60" spans="15:43" ht="15" customHeight="1" x14ac:dyDescent="0.2">
      <c r="O60" s="2" t="s">
        <v>60</v>
      </c>
      <c r="P60" s="518">
        <f>AG59+AH59*$K$9</f>
        <v>228.72749999999999</v>
      </c>
      <c r="Q60" s="518">
        <f>AG60+AH60*$K$9</f>
        <v>244.26</v>
      </c>
      <c r="R60" s="91">
        <f>AG61+AH61*$K$9</f>
        <v>264.26</v>
      </c>
      <c r="S60" s="519"/>
      <c r="T60" s="519"/>
      <c r="U60" s="324"/>
      <c r="V60" s="518">
        <f>AM59+AN59*$K$9</f>
        <v>515.85749999999996</v>
      </c>
      <c r="W60" s="518">
        <f>AM60+AN60*$K$9</f>
        <v>546.39</v>
      </c>
      <c r="X60" s="91">
        <f>AM61+AN61*$K$9</f>
        <v>576.92250000000001</v>
      </c>
      <c r="Y60" s="519"/>
      <c r="Z60" s="519"/>
      <c r="AA60" s="324"/>
      <c r="AC60" s="955" t="s">
        <v>188</v>
      </c>
      <c r="AD60" s="955"/>
      <c r="AE60" s="464" t="s">
        <v>14</v>
      </c>
      <c r="AF60" s="237"/>
      <c r="AG60" s="424">
        <v>240</v>
      </c>
      <c r="AH60" s="408">
        <v>0.01</v>
      </c>
      <c r="AJ60" s="414"/>
      <c r="AK60" s="415"/>
      <c r="AM60" s="424">
        <v>540</v>
      </c>
      <c r="AN60" s="408">
        <v>1.4999999999999999E-2</v>
      </c>
      <c r="AO60"/>
      <c r="AP60" s="414"/>
      <c r="AQ60" s="415"/>
    </row>
    <row r="61" spans="15:43" ht="15" customHeight="1" thickBot="1" x14ac:dyDescent="0.25">
      <c r="O61" s="2"/>
      <c r="R61"/>
      <c r="S61"/>
      <c r="T61"/>
      <c r="U61"/>
      <c r="V61"/>
      <c r="W61"/>
      <c r="X61"/>
      <c r="Y61"/>
      <c r="Z61"/>
      <c r="AA61"/>
      <c r="AC61" s="237"/>
      <c r="AD61" s="237"/>
      <c r="AE61" s="465" t="s">
        <v>28</v>
      </c>
      <c r="AF61" s="237"/>
      <c r="AG61" s="425">
        <v>260</v>
      </c>
      <c r="AH61" s="411">
        <v>0.01</v>
      </c>
      <c r="AJ61" s="397"/>
      <c r="AK61" s="422"/>
      <c r="AM61" s="425">
        <v>570</v>
      </c>
      <c r="AN61" s="411">
        <v>1.6250000000000001E-2</v>
      </c>
      <c r="AO61"/>
      <c r="AP61" s="421"/>
      <c r="AQ61" s="422"/>
    </row>
    <row r="62" spans="15:43" ht="15" customHeight="1" thickBot="1" x14ac:dyDescent="0.25">
      <c r="O62" s="2" t="s">
        <v>23</v>
      </c>
      <c r="P62" s="520">
        <f t="shared" ref="P62:X62" si="3">IF($K$9&gt;=4000,P60,P58)</f>
        <v>233.19499999999999</v>
      </c>
      <c r="Q62" s="521">
        <f t="shared" si="3"/>
        <v>253.19499999999999</v>
      </c>
      <c r="R62" s="521">
        <f t="shared" si="3"/>
        <v>273.19499999999999</v>
      </c>
      <c r="S62" s="522"/>
      <c r="T62" s="522"/>
      <c r="U62" s="523"/>
      <c r="V62" s="520">
        <f t="shared" si="3"/>
        <v>515.85749999999996</v>
      </c>
      <c r="W62" s="521">
        <f t="shared" si="3"/>
        <v>550.85749999999996</v>
      </c>
      <c r="X62" s="521">
        <f t="shared" si="3"/>
        <v>581.39</v>
      </c>
      <c r="Y62" s="522"/>
      <c r="Z62" s="522"/>
      <c r="AA62" s="524"/>
    </row>
    <row r="63" spans="15:43" ht="15" customHeight="1" x14ac:dyDescent="0.2">
      <c r="P63" s="4"/>
      <c r="Q63"/>
      <c r="R63"/>
      <c r="S63" s="4"/>
      <c r="T63"/>
      <c r="U63"/>
      <c r="V63" s="4"/>
      <c r="W63"/>
      <c r="X63"/>
      <c r="Y63" s="4"/>
      <c r="Z63"/>
      <c r="AA63"/>
    </row>
    <row r="64" spans="15:43" ht="15" customHeight="1" x14ac:dyDescent="0.2">
      <c r="O64" s="2" t="s">
        <v>30</v>
      </c>
      <c r="P64" s="401">
        <f>15-H9/1000*2</f>
        <v>14.148</v>
      </c>
      <c r="Q64" s="2" t="s">
        <v>4</v>
      </c>
      <c r="R64" s="2" t="s">
        <v>31</v>
      </c>
      <c r="S64" s="401">
        <f>H10</f>
        <v>32</v>
      </c>
      <c r="T64" s="2"/>
      <c r="U64" s="2"/>
      <c r="V64" s="2"/>
      <c r="W64" s="2"/>
      <c r="X64" s="2"/>
      <c r="Y64" s="2"/>
      <c r="Z64"/>
      <c r="AA64"/>
      <c r="AC64" s="1" t="s">
        <v>4</v>
      </c>
    </row>
    <row r="65" spans="15:43" ht="15" customHeight="1" x14ac:dyDescent="0.2">
      <c r="P65" s="4" t="s">
        <v>40</v>
      </c>
      <c r="Q65"/>
      <c r="R65"/>
      <c r="S65" s="4" t="s">
        <v>41</v>
      </c>
      <c r="T65"/>
      <c r="U65"/>
      <c r="V65" s="4" t="s">
        <v>49</v>
      </c>
      <c r="W65"/>
      <c r="X65"/>
      <c r="Y65" s="4" t="s">
        <v>50</v>
      </c>
      <c r="Z65"/>
      <c r="AA65"/>
      <c r="AB65" s="1" t="s">
        <v>4</v>
      </c>
    </row>
    <row r="66" spans="15:43" ht="15" customHeight="1" x14ac:dyDescent="0.2">
      <c r="O66" s="1" t="s">
        <v>29</v>
      </c>
      <c r="P66" s="508">
        <f>IF(S64&gt;=P64,Q62+((R62-Q62)/20)*(S64-P64),Q62-((Q62-P62)/20)*(P64-S64))</f>
        <v>271.04699999999997</v>
      </c>
      <c r="Q66"/>
      <c r="R66"/>
      <c r="S66" s="509"/>
      <c r="T66"/>
      <c r="U66" t="s">
        <v>4</v>
      </c>
      <c r="V66" s="508">
        <f>IF(S64&gt;=P64,W62+((X62-W62)/20)*(S64-P64),W62-((W62-V62)/20)*(P64-S64))</f>
        <v>578.11080949999996</v>
      </c>
      <c r="W66" t="s">
        <v>4</v>
      </c>
      <c r="X66"/>
      <c r="Y66" s="509"/>
      <c r="Z66"/>
      <c r="AA66" t="s">
        <v>4</v>
      </c>
    </row>
    <row r="67" spans="15:43" ht="15" customHeight="1" x14ac:dyDescent="0.2">
      <c r="P67"/>
      <c r="Q67"/>
      <c r="R67"/>
      <c r="S67"/>
      <c r="T67"/>
      <c r="U67"/>
      <c r="V67"/>
      <c r="W67"/>
      <c r="X67"/>
      <c r="Y67"/>
      <c r="Z67"/>
      <c r="AA67"/>
    </row>
    <row r="68" spans="15:43" ht="15" customHeight="1" x14ac:dyDescent="0.2">
      <c r="P68"/>
      <c r="Q68"/>
      <c r="R68"/>
      <c r="S68"/>
      <c r="T68"/>
      <c r="U68" t="s">
        <v>4</v>
      </c>
      <c r="V68"/>
      <c r="W68" t="s">
        <v>4</v>
      </c>
      <c r="X68" t="s">
        <v>4</v>
      </c>
      <c r="Y68"/>
      <c r="Z68"/>
      <c r="AA68"/>
    </row>
    <row r="69" spans="15:43" ht="15" customHeight="1" x14ac:dyDescent="0.2">
      <c r="P69"/>
      <c r="Q69"/>
      <c r="R69"/>
      <c r="S69"/>
      <c r="T69"/>
      <c r="U69"/>
      <c r="V69"/>
      <c r="W69"/>
      <c r="X69"/>
      <c r="Y69"/>
      <c r="Z69"/>
      <c r="AA69"/>
    </row>
    <row r="70" spans="15:43" ht="15" customHeight="1" x14ac:dyDescent="0.2">
      <c r="O70" s="16" t="s">
        <v>62</v>
      </c>
      <c r="P70"/>
      <c r="Q70"/>
      <c r="R70"/>
      <c r="S70"/>
      <c r="T70"/>
      <c r="U70"/>
      <c r="V70"/>
      <c r="W70"/>
      <c r="X70"/>
      <c r="Y70"/>
      <c r="Z70"/>
      <c r="AA70"/>
    </row>
    <row r="71" spans="15:43" ht="15" customHeight="1" x14ac:dyDescent="0.2">
      <c r="P71" s="885" t="s">
        <v>34</v>
      </c>
      <c r="Q71" s="885"/>
      <c r="R71" s="885"/>
      <c r="S71" s="885"/>
      <c r="T71" s="885"/>
      <c r="U71" s="885"/>
      <c r="V71" s="885" t="s">
        <v>35</v>
      </c>
      <c r="W71" s="885"/>
      <c r="X71" s="885"/>
      <c r="Y71" s="885"/>
      <c r="Z71" s="885"/>
      <c r="AA71" s="885"/>
    </row>
    <row r="72" spans="15:43" ht="15" customHeight="1" x14ac:dyDescent="0.2">
      <c r="P72" s="885" t="s">
        <v>36</v>
      </c>
      <c r="Q72" s="885"/>
      <c r="R72" s="885"/>
      <c r="S72" s="886" t="s">
        <v>37</v>
      </c>
      <c r="T72" s="886"/>
      <c r="U72" s="886"/>
      <c r="V72" s="885" t="s">
        <v>36</v>
      </c>
      <c r="W72" s="885"/>
      <c r="X72" s="885"/>
      <c r="Y72" s="886" t="s">
        <v>37</v>
      </c>
      <c r="Z72" s="886"/>
      <c r="AA72" s="886"/>
    </row>
    <row r="73" spans="15:43" ht="15" customHeight="1" x14ac:dyDescent="0.2">
      <c r="P73" s="885" t="s">
        <v>38</v>
      </c>
      <c r="Q73" s="885"/>
      <c r="R73" s="885"/>
      <c r="S73" s="886" t="s">
        <v>39</v>
      </c>
      <c r="T73" s="886"/>
      <c r="U73" s="886"/>
      <c r="V73" s="885" t="s">
        <v>38</v>
      </c>
      <c r="W73" s="885"/>
      <c r="X73" s="885"/>
      <c r="Y73" s="886" t="s">
        <v>39</v>
      </c>
      <c r="Z73" s="886"/>
      <c r="AA73" s="886"/>
    </row>
    <row r="74" spans="15:43" ht="15" customHeight="1" thickBot="1" x14ac:dyDescent="0.25">
      <c r="O74" s="1" t="s">
        <v>1</v>
      </c>
      <c r="P74" s="22" t="s">
        <v>27</v>
      </c>
      <c r="Q74" s="22" t="s">
        <v>14</v>
      </c>
      <c r="R74" s="22" t="s">
        <v>28</v>
      </c>
      <c r="S74" s="373" t="s">
        <v>27</v>
      </c>
      <c r="T74" s="373" t="s">
        <v>14</v>
      </c>
      <c r="U74" s="373" t="s">
        <v>28</v>
      </c>
      <c r="V74" s="22" t="s">
        <v>27</v>
      </c>
      <c r="W74" s="22" t="s">
        <v>14</v>
      </c>
      <c r="X74" s="22" t="s">
        <v>28</v>
      </c>
      <c r="Y74" s="373" t="s">
        <v>27</v>
      </c>
      <c r="Z74" s="373" t="s">
        <v>14</v>
      </c>
      <c r="AA74" s="325" t="s">
        <v>28</v>
      </c>
      <c r="AG74" s="1" t="s">
        <v>40</v>
      </c>
      <c r="AJ74" s="1" t="s">
        <v>41</v>
      </c>
      <c r="AM74" s="1" t="s">
        <v>185</v>
      </c>
      <c r="AN74"/>
      <c r="AO74" s="4"/>
      <c r="AP74" s="4" t="s">
        <v>186</v>
      </c>
      <c r="AQ74" s="4"/>
    </row>
    <row r="75" spans="15:43" ht="15" customHeight="1" x14ac:dyDescent="0.2">
      <c r="O75" s="2">
        <v>0</v>
      </c>
      <c r="P75" s="41">
        <v>190</v>
      </c>
      <c r="Q75" s="41">
        <v>205</v>
      </c>
      <c r="R75" s="41">
        <v>215</v>
      </c>
      <c r="S75" s="374"/>
      <c r="T75" s="374"/>
      <c r="U75" s="374"/>
      <c r="V75" s="22">
        <v>435</v>
      </c>
      <c r="W75" s="42">
        <v>460</v>
      </c>
      <c r="X75" s="42">
        <v>485</v>
      </c>
      <c r="Y75" s="375"/>
      <c r="Z75" s="375"/>
      <c r="AA75" s="373"/>
      <c r="AC75" s="2"/>
      <c r="AD75" s="2"/>
      <c r="AE75" s="460" t="s">
        <v>27</v>
      </c>
      <c r="AF75" s="237"/>
      <c r="AG75" s="423">
        <v>190</v>
      </c>
      <c r="AH75" s="238">
        <v>5.0000000000000001E-3</v>
      </c>
      <c r="AI75" s="2"/>
      <c r="AJ75" s="412"/>
      <c r="AK75" s="413"/>
      <c r="AM75" s="423">
        <v>435</v>
      </c>
      <c r="AN75" s="238">
        <v>0.01</v>
      </c>
      <c r="AO75"/>
      <c r="AP75" s="412"/>
      <c r="AQ75" s="413"/>
    </row>
    <row r="76" spans="15:43" ht="15" customHeight="1" x14ac:dyDescent="0.2">
      <c r="O76" s="2">
        <v>4000</v>
      </c>
      <c r="P76" s="6">
        <v>210</v>
      </c>
      <c r="Q76" s="6">
        <v>230</v>
      </c>
      <c r="R76" s="6">
        <v>245</v>
      </c>
      <c r="S76" s="320"/>
      <c r="T76" s="320"/>
      <c r="U76" s="320"/>
      <c r="V76" s="12">
        <v>475</v>
      </c>
      <c r="W76" s="25">
        <v>505</v>
      </c>
      <c r="X76" s="25">
        <v>535</v>
      </c>
      <c r="Y76" s="371"/>
      <c r="Z76" s="371"/>
      <c r="AA76" s="467"/>
      <c r="AC76" s="839" t="s">
        <v>187</v>
      </c>
      <c r="AD76" s="956"/>
      <c r="AE76" s="461" t="s">
        <v>14</v>
      </c>
      <c r="AF76" s="237"/>
      <c r="AG76" s="424">
        <v>205</v>
      </c>
      <c r="AH76" s="408">
        <v>6.2500000000000003E-3</v>
      </c>
      <c r="AJ76" s="414"/>
      <c r="AK76" s="415"/>
      <c r="AM76" s="424">
        <v>460</v>
      </c>
      <c r="AN76" s="408">
        <v>1.125E-2</v>
      </c>
      <c r="AO76"/>
      <c r="AP76" s="414"/>
      <c r="AQ76" s="415"/>
    </row>
    <row r="77" spans="15:43" ht="15" customHeight="1" thickBot="1" x14ac:dyDescent="0.25">
      <c r="O77" s="2">
        <v>8000</v>
      </c>
      <c r="P77" s="7">
        <v>240</v>
      </c>
      <c r="Q77" s="7">
        <v>260</v>
      </c>
      <c r="R77" s="7">
        <v>275</v>
      </c>
      <c r="S77" s="321"/>
      <c r="T77" s="321"/>
      <c r="U77" s="321"/>
      <c r="V77" s="13">
        <v>520</v>
      </c>
      <c r="W77" s="24">
        <v>555</v>
      </c>
      <c r="X77" s="24">
        <v>585</v>
      </c>
      <c r="Y77" s="372"/>
      <c r="Z77" s="372"/>
      <c r="AA77" s="468"/>
      <c r="AE77" s="462" t="s">
        <v>28</v>
      </c>
      <c r="AF77" s="237"/>
      <c r="AG77" s="425">
        <v>215</v>
      </c>
      <c r="AH77" s="411">
        <v>7.4999999999999997E-3</v>
      </c>
      <c r="AJ77" s="416"/>
      <c r="AK77" s="417"/>
      <c r="AM77" s="425">
        <v>485</v>
      </c>
      <c r="AN77" s="411">
        <v>1.2500000000000001E-2</v>
      </c>
      <c r="AO77"/>
      <c r="AP77" s="426"/>
      <c r="AQ77" s="427"/>
    </row>
    <row r="78" spans="15:43" ht="15" customHeight="1" x14ac:dyDescent="0.2">
      <c r="O78" s="2"/>
      <c r="P78"/>
      <c r="Q78"/>
      <c r="R78"/>
      <c r="S78"/>
      <c r="T78"/>
      <c r="U78"/>
      <c r="V78"/>
      <c r="W78"/>
      <c r="X78"/>
      <c r="Y78"/>
      <c r="Z78"/>
      <c r="AA78"/>
      <c r="AM78" s="16"/>
      <c r="AN78" s="21"/>
      <c r="AO78"/>
      <c r="AP78"/>
      <c r="AQ78"/>
    </row>
    <row r="79" spans="15:43" ht="15" customHeight="1" thickBot="1" x14ac:dyDescent="0.25">
      <c r="O79" s="2" t="s">
        <v>59</v>
      </c>
      <c r="P79" s="91">
        <f>AG75+AH75*$K$9</f>
        <v>192.13</v>
      </c>
      <c r="Q79" s="91">
        <f>AG76+AH76*$K$9</f>
        <v>207.66249999999999</v>
      </c>
      <c r="R79" s="91">
        <f>AG77+AH77*$K$9</f>
        <v>218.19499999999999</v>
      </c>
      <c r="S79" s="324"/>
      <c r="T79" s="324"/>
      <c r="U79" s="324"/>
      <c r="V79" s="91">
        <f>AM75+AN75*$K$9</f>
        <v>439.26</v>
      </c>
      <c r="W79" s="91">
        <f>AM76+AN76*$K$9</f>
        <v>464.79250000000002</v>
      </c>
      <c r="X79" s="91">
        <f>AM77+AN77*$K$9</f>
        <v>490.32499999999999</v>
      </c>
      <c r="Y79" s="324"/>
      <c r="Z79" s="324"/>
      <c r="AA79" s="324"/>
      <c r="AC79" s="237"/>
      <c r="AD79" s="237"/>
      <c r="AE79" s="405"/>
      <c r="AF79" s="237"/>
      <c r="AG79" s="237" t="s">
        <v>40</v>
      </c>
      <c r="AH79" s="237"/>
      <c r="AI79" s="237"/>
      <c r="AJ79" s="237" t="s">
        <v>41</v>
      </c>
      <c r="AK79" s="237"/>
      <c r="AL79" s="237"/>
      <c r="AM79" s="237" t="s">
        <v>186</v>
      </c>
      <c r="AN79" s="237"/>
      <c r="AO79" s="237"/>
      <c r="AP79" t="s">
        <v>186</v>
      </c>
      <c r="AQ79"/>
    </row>
    <row r="80" spans="15:43" ht="15" customHeight="1" x14ac:dyDescent="0.2">
      <c r="O80" s="2"/>
      <c r="P80"/>
      <c r="Q80"/>
      <c r="R80"/>
      <c r="S80"/>
      <c r="T80"/>
      <c r="U80"/>
      <c r="V80"/>
      <c r="W80"/>
      <c r="X80"/>
      <c r="Y80"/>
      <c r="Z80"/>
      <c r="AA80"/>
      <c r="AE80" s="463" t="s">
        <v>27</v>
      </c>
      <c r="AF80" s="237"/>
      <c r="AG80" s="423">
        <v>180</v>
      </c>
      <c r="AH80" s="238">
        <v>7.4999999999999997E-3</v>
      </c>
      <c r="AJ80" s="412"/>
      <c r="AK80" s="413"/>
      <c r="AM80" s="423">
        <v>430</v>
      </c>
      <c r="AN80" s="238">
        <v>1.125E-2</v>
      </c>
      <c r="AO80"/>
      <c r="AP80" s="412"/>
      <c r="AQ80" s="413"/>
    </row>
    <row r="81" spans="15:43" ht="15" customHeight="1" x14ac:dyDescent="0.2">
      <c r="O81" s="2" t="s">
        <v>60</v>
      </c>
      <c r="P81" s="91">
        <f>AG80+AH80*$K$9</f>
        <v>183.19499999999999</v>
      </c>
      <c r="Q81" s="91">
        <f>AG81+AH81*$K$9</f>
        <v>203.19499999999999</v>
      </c>
      <c r="R81" s="91">
        <f>AG82+AH82*$K$9</f>
        <v>218.19499999999999</v>
      </c>
      <c r="S81" s="324"/>
      <c r="T81" s="324"/>
      <c r="U81" s="324"/>
      <c r="V81" s="91">
        <f>AM80+AN80*$K$9</f>
        <v>434.79250000000002</v>
      </c>
      <c r="W81" s="91">
        <f>AM81+AN81*$K$9</f>
        <v>460.32499999999999</v>
      </c>
      <c r="X81" s="91">
        <f>AM82+AN82*$K$9</f>
        <v>490.32499999999999</v>
      </c>
      <c r="Y81" s="324"/>
      <c r="Z81" s="324"/>
      <c r="AA81" s="324"/>
      <c r="AC81" s="955" t="s">
        <v>188</v>
      </c>
      <c r="AD81" s="955"/>
      <c r="AE81" s="464" t="s">
        <v>14</v>
      </c>
      <c r="AF81" s="237"/>
      <c r="AG81" s="424">
        <v>200</v>
      </c>
      <c r="AH81" s="408">
        <v>7.4999999999999997E-3</v>
      </c>
      <c r="AJ81" s="414"/>
      <c r="AK81" s="415"/>
      <c r="AM81" s="424">
        <v>455</v>
      </c>
      <c r="AN81" s="408">
        <v>1.2500000000000001E-2</v>
      </c>
      <c r="AO81"/>
      <c r="AP81" s="414"/>
      <c r="AQ81" s="415"/>
    </row>
    <row r="82" spans="15:43" ht="15" customHeight="1" thickBot="1" x14ac:dyDescent="0.25">
      <c r="O82" s="2"/>
      <c r="P82"/>
      <c r="Q82"/>
      <c r="R82"/>
      <c r="S82"/>
      <c r="T82"/>
      <c r="U82"/>
      <c r="V82"/>
      <c r="W82"/>
      <c r="X82"/>
      <c r="Y82"/>
      <c r="Z82"/>
      <c r="AA82"/>
      <c r="AC82" s="237"/>
      <c r="AD82" s="237"/>
      <c r="AE82" s="465" t="s">
        <v>28</v>
      </c>
      <c r="AF82" s="237"/>
      <c r="AG82" s="425">
        <v>215</v>
      </c>
      <c r="AH82" s="411">
        <v>7.4999999999999997E-3</v>
      </c>
      <c r="AJ82" s="397"/>
      <c r="AK82" s="422"/>
      <c r="AM82" s="425">
        <v>485</v>
      </c>
      <c r="AN82" s="411">
        <v>1.2500000000000001E-2</v>
      </c>
      <c r="AO82"/>
      <c r="AP82" s="421"/>
      <c r="AQ82" s="422"/>
    </row>
    <row r="83" spans="15:43" ht="15" customHeight="1" thickBot="1" x14ac:dyDescent="0.25">
      <c r="O83" t="s">
        <v>23</v>
      </c>
      <c r="P83" s="525">
        <f t="shared" ref="P83:X83" si="4">IF($K$9&gt;=4000,P81,P79)</f>
        <v>192.13</v>
      </c>
      <c r="Q83" s="526">
        <f t="shared" si="4"/>
        <v>207.66249999999999</v>
      </c>
      <c r="R83" s="526">
        <f t="shared" si="4"/>
        <v>218.19499999999999</v>
      </c>
      <c r="S83" s="527"/>
      <c r="T83" s="527"/>
      <c r="U83" s="528"/>
      <c r="V83" s="525">
        <f t="shared" si="4"/>
        <v>439.26</v>
      </c>
      <c r="W83" s="526">
        <f t="shared" si="4"/>
        <v>464.79250000000002</v>
      </c>
      <c r="X83" s="526">
        <f t="shared" si="4"/>
        <v>490.32499999999999</v>
      </c>
      <c r="Y83" s="527"/>
      <c r="Z83" s="527"/>
      <c r="AA83" s="529"/>
    </row>
    <row r="84" spans="15:43" ht="15" customHeight="1" x14ac:dyDescent="0.2"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5:43" ht="15" customHeight="1" x14ac:dyDescent="0.2"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5:43" ht="15" customHeight="1" x14ac:dyDescent="0.2">
      <c r="O86"/>
      <c r="P86" s="4" t="s">
        <v>40</v>
      </c>
      <c r="Q86"/>
      <c r="R86"/>
      <c r="S86" s="4" t="s">
        <v>41</v>
      </c>
      <c r="T86"/>
      <c r="U86"/>
      <c r="V86" s="4" t="s">
        <v>51</v>
      </c>
      <c r="W86"/>
      <c r="X86"/>
      <c r="Y86" s="4" t="s">
        <v>52</v>
      </c>
      <c r="Z86"/>
      <c r="AA86"/>
    </row>
    <row r="87" spans="15:43" ht="15" customHeight="1" x14ac:dyDescent="0.2">
      <c r="O87" t="s">
        <v>29</v>
      </c>
      <c r="P87" s="508">
        <f>IF(S64&gt;=P64,Q83+((R83-Q83)/20)*(S64-P64),Q83-((Q83-P83)/20)*(P64-S64))</f>
        <v>217.06380949999999</v>
      </c>
      <c r="Q87"/>
      <c r="R87"/>
      <c r="S87" s="509"/>
      <c r="T87" t="s">
        <v>4</v>
      </c>
      <c r="U87"/>
      <c r="V87" s="508">
        <f>IF(S64&gt;=P64,W83+((X83-W83)/20)*(S64-P64),W83-((W83-V83)/20)*(P64-S64))</f>
        <v>487.5828095</v>
      </c>
      <c r="W87"/>
      <c r="X87"/>
      <c r="Y87" s="509"/>
      <c r="Z87"/>
      <c r="AA87"/>
    </row>
    <row r="88" spans="15:43" ht="15" customHeight="1" x14ac:dyDescent="0.2">
      <c r="O88"/>
      <c r="P88"/>
      <c r="Q88"/>
      <c r="R88" t="s">
        <v>4</v>
      </c>
      <c r="S88"/>
      <c r="T88"/>
      <c r="U88"/>
      <c r="V88"/>
      <c r="W88"/>
      <c r="X88"/>
      <c r="Y88"/>
      <c r="Z88"/>
      <c r="AA88"/>
    </row>
    <row r="89" spans="15:43" ht="15" customHeight="1" thickBot="1" x14ac:dyDescent="0.25">
      <c r="O89"/>
      <c r="P89" s="4" t="s">
        <v>40</v>
      </c>
      <c r="Q89"/>
      <c r="R89"/>
      <c r="S89" s="4" t="s">
        <v>41</v>
      </c>
      <c r="T89" t="s">
        <v>4</v>
      </c>
      <c r="U89"/>
      <c r="V89" s="4" t="s">
        <v>51</v>
      </c>
      <c r="W89"/>
      <c r="X89"/>
      <c r="Y89" s="4" t="s">
        <v>52</v>
      </c>
      <c r="Z89"/>
      <c r="AA89" t="s">
        <v>4</v>
      </c>
    </row>
    <row r="90" spans="15:43" ht="15" customHeight="1" thickBot="1" x14ac:dyDescent="0.25">
      <c r="O90" t="s">
        <v>25</v>
      </c>
      <c r="P90" s="510">
        <f>P87+(P66-P87)/200*(H8-845)</f>
        <v>270.35061684254998</v>
      </c>
      <c r="Q90"/>
      <c r="R90"/>
      <c r="S90" s="557"/>
      <c r="T90"/>
      <c r="U90"/>
      <c r="V90" s="510">
        <f>V87+(V66-V87)/200*(H8-845)</f>
        <v>576.9429983</v>
      </c>
      <c r="W90"/>
      <c r="X90"/>
      <c r="Y90" s="557"/>
      <c r="Z90"/>
      <c r="AA90"/>
    </row>
    <row r="91" spans="15:43" ht="15" customHeight="1" thickBot="1" x14ac:dyDescent="0.25">
      <c r="O91"/>
      <c r="P91"/>
      <c r="Q91"/>
      <c r="R91"/>
      <c r="S91"/>
      <c r="T91" s="492">
        <f>H13</f>
        <v>-4.3301270189221954</v>
      </c>
      <c r="U91" s="493">
        <f>-INT(H13)</f>
        <v>5</v>
      </c>
      <c r="V91"/>
      <c r="W91"/>
      <c r="X91"/>
      <c r="Y91"/>
      <c r="Z91"/>
      <c r="AA91"/>
    </row>
    <row r="92" spans="15:43" ht="79.5" customHeight="1" thickBot="1" x14ac:dyDescent="0.25">
      <c r="O92"/>
      <c r="P92" s="32" t="s">
        <v>54</v>
      </c>
      <c r="Q92"/>
      <c r="R92"/>
      <c r="S92" s="32" t="s">
        <v>53</v>
      </c>
      <c r="T92"/>
      <c r="U92"/>
      <c r="V92" s="32" t="s">
        <v>55</v>
      </c>
      <c r="W92" t="s">
        <v>4</v>
      </c>
      <c r="X92"/>
      <c r="Y92" s="32" t="s">
        <v>56</v>
      </c>
      <c r="Z92"/>
      <c r="AA92"/>
    </row>
    <row r="93" spans="15:43" ht="15" customHeight="1" thickBot="1" x14ac:dyDescent="0.25">
      <c r="O93" t="s">
        <v>26</v>
      </c>
      <c r="P93" s="511">
        <f>IF(H13&gt;0,((H13/20)*P90)+P90,IF(H13&gt;=-10,(1-0.02*U91)*P90,IF(H13&gt;=-20,(0.94-0.014*U91)*P90,(0.88-0.011*U91)*P90)))</f>
        <v>243.31555515829498</v>
      </c>
      <c r="Q93" t="s">
        <v>4</v>
      </c>
      <c r="R93"/>
      <c r="S93" s="512">
        <f>P93*1.15</f>
        <v>279.81288843203919</v>
      </c>
      <c r="T93"/>
      <c r="U93"/>
      <c r="V93" s="511">
        <f>IF(H13&gt;0,((H13/20)*V90)+V90,IF(H13&gt;=-10,(1-0.02*U91)*V90,IF(H13&gt;=-20,(0.94-0.014*U91)*V90,(0.88-0.011*U91)*V90)))</f>
        <v>519.24869847000002</v>
      </c>
      <c r="W93"/>
      <c r="X93"/>
      <c r="Y93" s="512">
        <f>V93*1.15</f>
        <v>597.13600324050003</v>
      </c>
      <c r="Z93"/>
      <c r="AA93"/>
    </row>
    <row r="94" spans="15:43" ht="15" customHeight="1" x14ac:dyDescent="0.2"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5:43" ht="15" customHeight="1" x14ac:dyDescent="0.2">
      <c r="O95" s="1" t="s">
        <v>108</v>
      </c>
    </row>
    <row r="96" spans="15:43" ht="15" customHeight="1" x14ac:dyDescent="0.2">
      <c r="O96" s="83" t="s">
        <v>109</v>
      </c>
      <c r="P96" s="3">
        <f>H6</f>
        <v>255</v>
      </c>
      <c r="R96" s="3">
        <f>RADIANS(P96)</f>
        <v>4.4505895925855405</v>
      </c>
      <c r="T96" s="1" t="s">
        <v>111</v>
      </c>
      <c r="U96" s="3">
        <f>RADIANS(270)-R96</f>
        <v>0.26179938779914913</v>
      </c>
      <c r="W96" s="1" t="s">
        <v>113</v>
      </c>
      <c r="X96" s="3">
        <f>P97*(COS(U96)*COS(U98)+SIN(U96)*SIN(U98))</f>
        <v>-4.3301270189221954</v>
      </c>
    </row>
    <row r="97" spans="15:24" ht="15" customHeight="1" x14ac:dyDescent="0.2">
      <c r="O97" s="83" t="s">
        <v>110</v>
      </c>
      <c r="P97" s="3">
        <f>H7</f>
        <v>5</v>
      </c>
    </row>
    <row r="98" spans="15:24" ht="15" customHeight="1" x14ac:dyDescent="0.2">
      <c r="O98" s="83" t="s">
        <v>70</v>
      </c>
      <c r="P98" s="3">
        <f>H5</f>
        <v>285</v>
      </c>
      <c r="R98" s="3">
        <f>RADIANS(P98)</f>
        <v>4.9741883681838388</v>
      </c>
      <c r="T98" s="1" t="s">
        <v>112</v>
      </c>
      <c r="U98" s="3">
        <f>RADIANS(90)-R98</f>
        <v>-3.4033920413889422</v>
      </c>
      <c r="W98" s="1" t="s">
        <v>114</v>
      </c>
      <c r="X98" s="84">
        <f>P97*(SIN(U96)*COS(U98)-COS(U96)*SIN(U98))</f>
        <v>-2.4999999999999964</v>
      </c>
    </row>
  </sheetData>
  <mergeCells count="58">
    <mergeCell ref="AU14:AV14"/>
    <mergeCell ref="K9:L9"/>
    <mergeCell ref="F15:M15"/>
    <mergeCell ref="AX14:AY14"/>
    <mergeCell ref="F19:M19"/>
    <mergeCell ref="B1:D1"/>
    <mergeCell ref="K3:L3"/>
    <mergeCell ref="G3:H3"/>
    <mergeCell ref="F1:M1"/>
    <mergeCell ref="P41:Q41"/>
    <mergeCell ref="P2:R2"/>
    <mergeCell ref="K7:L7"/>
    <mergeCell ref="S44:T44"/>
    <mergeCell ref="S47:T47"/>
    <mergeCell ref="P37:Q37"/>
    <mergeCell ref="V37:W37"/>
    <mergeCell ref="P38:Q38"/>
    <mergeCell ref="V38:W38"/>
    <mergeCell ref="V41:W41"/>
    <mergeCell ref="P52:R52"/>
    <mergeCell ref="S52:U52"/>
    <mergeCell ref="V52:X52"/>
    <mergeCell ref="Y52:AA52"/>
    <mergeCell ref="P50:U50"/>
    <mergeCell ref="V50:AA50"/>
    <mergeCell ref="P51:R51"/>
    <mergeCell ref="S51:U51"/>
    <mergeCell ref="V51:X51"/>
    <mergeCell ref="Y51:AA51"/>
    <mergeCell ref="P73:R73"/>
    <mergeCell ref="S73:U73"/>
    <mergeCell ref="V73:X73"/>
    <mergeCell ref="Y73:AA73"/>
    <mergeCell ref="P71:U71"/>
    <mergeCell ref="V71:AA71"/>
    <mergeCell ref="P72:R72"/>
    <mergeCell ref="S72:U72"/>
    <mergeCell ref="V72:X72"/>
    <mergeCell ref="Y72:AA72"/>
    <mergeCell ref="Y2:AA2"/>
    <mergeCell ref="AC27:AD27"/>
    <mergeCell ref="AC32:AD32"/>
    <mergeCell ref="P23:R23"/>
    <mergeCell ref="S23:U23"/>
    <mergeCell ref="V23:X23"/>
    <mergeCell ref="Y23:AA23"/>
    <mergeCell ref="P17:Q17"/>
    <mergeCell ref="V17:W17"/>
    <mergeCell ref="P18:Q18"/>
    <mergeCell ref="S2:U2"/>
    <mergeCell ref="V2:X2"/>
    <mergeCell ref="V18:W18"/>
    <mergeCell ref="AC55:AD55"/>
    <mergeCell ref="AC60:AD60"/>
    <mergeCell ref="AC76:AD76"/>
    <mergeCell ref="AC81:AD81"/>
    <mergeCell ref="AC6:AD6"/>
    <mergeCell ref="AC11:AD11"/>
  </mergeCells>
  <phoneticPr fontId="0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1CCD4-02AC-4561-8646-4DD58AF8BC67}">
  <dimension ref="B1:AY98"/>
  <sheetViews>
    <sheetView workbookViewId="0">
      <selection activeCell="AY26" sqref="AY26"/>
    </sheetView>
  </sheetViews>
  <sheetFormatPr baseColWidth="10" defaultColWidth="10.7109375" defaultRowHeight="15" customHeight="1" outlineLevelCol="1" x14ac:dyDescent="0.2"/>
  <cols>
    <col min="1" max="1" width="4.7109375" style="1" customWidth="1"/>
    <col min="2" max="4" width="11.42578125" style="1" customWidth="1"/>
    <col min="5" max="5" width="4.7109375" style="1" customWidth="1"/>
    <col min="6" max="6" width="15.7109375" style="1" customWidth="1"/>
    <col min="7" max="7" width="14.42578125" style="1" customWidth="1"/>
    <col min="8" max="8" width="13.140625" style="1" customWidth="1"/>
    <col min="9" max="9" width="14.140625" style="1" customWidth="1"/>
    <col min="10" max="10" width="16.42578125" style="1" customWidth="1"/>
    <col min="11" max="11" width="5.7109375" style="1" customWidth="1"/>
    <col min="12" max="12" width="5.7109375" style="1" customWidth="1" outlineLevel="1"/>
    <col min="13" max="14" width="4.7109375" style="1" customWidth="1" outlineLevel="1"/>
    <col min="15" max="15" width="7.7109375" style="1" hidden="1" customWidth="1" outlineLevel="1"/>
    <col min="16" max="22" width="7.7109375" hidden="1" customWidth="1" outlineLevel="1"/>
    <col min="23" max="24" width="5.7109375" style="1" hidden="1" customWidth="1"/>
    <col min="25" max="25" width="9.28515625" style="1" hidden="1" customWidth="1"/>
    <col min="26" max="27" width="12.7109375" style="1" hidden="1" customWidth="1"/>
    <col min="28" max="30" width="5.7109375" style="1" hidden="1" customWidth="1"/>
    <col min="31" max="31" width="9.28515625" style="1" hidden="1" customWidth="1"/>
    <col min="32" max="32" width="12.7109375" style="1" hidden="1" customWidth="1"/>
    <col min="33" max="33" width="15" style="1" hidden="1" customWidth="1"/>
    <col min="34" max="34" width="5.7109375" style="1" hidden="1" customWidth="1"/>
    <col min="35" max="35" width="8.7109375" style="1" hidden="1" customWidth="1"/>
    <col min="36" max="36" width="9.42578125" style="1" hidden="1" customWidth="1"/>
    <col min="37" max="37" width="8.7109375" style="1" hidden="1" customWidth="1"/>
    <col min="38" max="38" width="12" style="1" hidden="1" customWidth="1"/>
    <col min="39" max="39" width="8.7109375" style="1" hidden="1" customWidth="1"/>
    <col min="40" max="40" width="3.28515625" style="1" hidden="1" customWidth="1"/>
    <col min="41" max="43" width="8.7109375" style="1" hidden="1" customWidth="1"/>
    <col min="44" max="44" width="11.85546875" style="1" hidden="1" customWidth="1"/>
    <col min="45" max="45" width="9.85546875" style="1" hidden="1" customWidth="1"/>
    <col min="46" max="49" width="10.7109375" style="1" hidden="1" customWidth="1"/>
    <col min="50" max="50" width="10.7109375" style="1" customWidth="1"/>
    <col min="51" max="16384" width="10.7109375" style="1"/>
  </cols>
  <sheetData>
    <row r="1" spans="2:51" ht="24.95" customHeight="1" thickTop="1" thickBot="1" x14ac:dyDescent="0.25">
      <c r="B1" s="905" t="s">
        <v>80</v>
      </c>
      <c r="C1" s="906"/>
      <c r="D1" s="907"/>
      <c r="F1" s="905" t="s">
        <v>94</v>
      </c>
      <c r="G1" s="906"/>
      <c r="H1" s="906"/>
      <c r="I1" s="906"/>
      <c r="J1" s="906"/>
      <c r="K1" s="906"/>
      <c r="L1" s="906"/>
      <c r="M1" s="907"/>
      <c r="O1" s="16" t="s">
        <v>196</v>
      </c>
      <c r="Q1" s="2">
        <v>450</v>
      </c>
      <c r="AR1" s="735" t="s">
        <v>352</v>
      </c>
      <c r="AS1" s="736"/>
    </row>
    <row r="2" spans="2:51" ht="15" customHeight="1" thickTop="1" thickBot="1" x14ac:dyDescent="0.25">
      <c r="B2" s="61" t="s">
        <v>81</v>
      </c>
      <c r="D2" s="34"/>
      <c r="F2" s="33"/>
      <c r="M2" s="34"/>
      <c r="O2" s="8"/>
      <c r="P2" t="s">
        <v>195</v>
      </c>
      <c r="AG2"/>
      <c r="AH2"/>
      <c r="AI2"/>
      <c r="AJ2" t="s">
        <v>181</v>
      </c>
      <c r="AK2"/>
      <c r="AL2"/>
      <c r="AM2"/>
      <c r="AN2"/>
      <c r="AR2" s="839" t="s">
        <v>287</v>
      </c>
      <c r="AS2" s="839"/>
    </row>
    <row r="3" spans="2:51" ht="15" customHeight="1" thickBot="1" x14ac:dyDescent="0.25">
      <c r="B3" s="395" t="s">
        <v>353</v>
      </c>
      <c r="C3" s="728" t="s">
        <v>354</v>
      </c>
      <c r="D3" s="34"/>
      <c r="F3" s="33"/>
      <c r="G3" s="914" t="s">
        <v>47</v>
      </c>
      <c r="H3" s="915"/>
      <c r="K3" s="908" t="s">
        <v>58</v>
      </c>
      <c r="L3" s="909"/>
      <c r="M3" s="34"/>
      <c r="O3" s="8" t="s">
        <v>0</v>
      </c>
      <c r="P3" s="700">
        <v>0</v>
      </c>
      <c r="Q3" s="693">
        <v>11</v>
      </c>
      <c r="R3" s="700">
        <v>22</v>
      </c>
      <c r="S3" s="693">
        <v>33</v>
      </c>
      <c r="T3" s="700">
        <v>45</v>
      </c>
      <c r="U3" s="694">
        <v>56</v>
      </c>
      <c r="Z3" s="1" t="s">
        <v>195</v>
      </c>
      <c r="AG3"/>
      <c r="AH3" s="4"/>
      <c r="AI3" s="4"/>
      <c r="AJ3" s="4"/>
      <c r="AK3" s="4"/>
      <c r="AL3" s="4"/>
      <c r="AM3" s="4"/>
      <c r="AN3" s="4"/>
      <c r="AO3" s="4"/>
      <c r="AX3" s="734"/>
      <c r="AY3" s="734"/>
    </row>
    <row r="4" spans="2:51" ht="15" customHeight="1" thickBot="1" x14ac:dyDescent="0.25">
      <c r="B4" s="33"/>
      <c r="D4" s="34"/>
      <c r="F4" s="33"/>
      <c r="M4" s="34"/>
      <c r="O4" s="8" t="s">
        <v>1</v>
      </c>
      <c r="AG4"/>
      <c r="AH4" s="4"/>
      <c r="AI4" s="4"/>
      <c r="AJ4" s="231"/>
      <c r="AK4" s="134" t="s">
        <v>172</v>
      </c>
      <c r="AL4" s="705" t="s">
        <v>173</v>
      </c>
      <c r="AM4" s="683" t="s">
        <v>329</v>
      </c>
      <c r="AN4" s="4"/>
      <c r="AO4" s="2"/>
      <c r="AS4" s="709" t="s">
        <v>302</v>
      </c>
      <c r="AT4" s="251" t="s">
        <v>337</v>
      </c>
      <c r="AU4" s="710" t="s">
        <v>334</v>
      </c>
    </row>
    <row r="5" spans="2:51" ht="15" customHeight="1" thickBot="1" x14ac:dyDescent="0.25">
      <c r="B5" s="62" t="s">
        <v>82</v>
      </c>
      <c r="C5" s="726">
        <v>449</v>
      </c>
      <c r="D5" s="44" t="s">
        <v>65</v>
      </c>
      <c r="F5" s="68" t="s">
        <v>75</v>
      </c>
      <c r="G5" s="5" t="s">
        <v>70</v>
      </c>
      <c r="H5" s="92">
        <v>285</v>
      </c>
      <c r="M5" s="34"/>
      <c r="O5" s="2">
        <v>0</v>
      </c>
      <c r="P5" s="658">
        <v>293</v>
      </c>
      <c r="Q5" s="683">
        <v>312</v>
      </c>
      <c r="R5" s="679">
        <v>332</v>
      </c>
      <c r="S5" s="683">
        <v>351</v>
      </c>
      <c r="T5" s="679">
        <v>372</v>
      </c>
      <c r="U5" s="683">
        <v>392</v>
      </c>
      <c r="W5" s="2"/>
      <c r="X5" s="2"/>
      <c r="Y5" s="530" t="s">
        <v>197</v>
      </c>
      <c r="Z5" s="254">
        <v>293</v>
      </c>
      <c r="AA5" s="238">
        <v>1.7272727269999999</v>
      </c>
      <c r="AB5" s="2"/>
      <c r="AC5" s="2"/>
      <c r="AD5" s="2"/>
      <c r="AE5" s="530" t="s">
        <v>197</v>
      </c>
      <c r="AF5" s="254">
        <v>328</v>
      </c>
      <c r="AG5" s="238">
        <v>0.36363636360000001</v>
      </c>
      <c r="AH5"/>
      <c r="AI5" s="237"/>
      <c r="AJ5" s="289">
        <v>0</v>
      </c>
      <c r="AK5" s="223">
        <v>293</v>
      </c>
      <c r="AL5" s="706">
        <v>1.7678571430000001</v>
      </c>
      <c r="AM5" s="698">
        <f>AK5+AL5*$AM$17</f>
        <v>381.39285715</v>
      </c>
      <c r="AN5"/>
      <c r="AO5" s="2" t="s">
        <v>181</v>
      </c>
      <c r="AP5" s="676">
        <f>IF(K9&lt;3000,AM5+(AM6-AM5)/3000*K9,IF(K9&lt;5000,AM6+(AM7-AM6)/2000*(K9-3000),IF(K9&lt;7000,AM7+(AM8-AM7)/2000*(K9-5000),AM8+(AM8-AM7)/2000*(K9-7000))))</f>
        <v>400.20785715</v>
      </c>
      <c r="AQ5" s="2"/>
      <c r="AR5" s="2"/>
      <c r="AS5" s="2"/>
      <c r="AT5" s="2"/>
      <c r="AU5" s="2"/>
      <c r="AV5" s="2"/>
      <c r="AW5" s="2"/>
      <c r="AX5" s="2"/>
    </row>
    <row r="6" spans="2:51" ht="15" customHeight="1" thickBot="1" x14ac:dyDescent="0.25">
      <c r="B6" s="62"/>
      <c r="D6" s="44"/>
      <c r="F6" s="68" t="s">
        <v>74</v>
      </c>
      <c r="G6" s="5" t="s">
        <v>71</v>
      </c>
      <c r="H6" s="93">
        <v>255</v>
      </c>
      <c r="J6" s="5" t="s">
        <v>95</v>
      </c>
      <c r="K6" s="85" t="str">
        <f>IF(X35&lt;0,"D","G")</f>
        <v>D</v>
      </c>
      <c r="L6" s="86">
        <f>IF(X35&gt;0,X35,-X35)</f>
        <v>2.4999999999999964</v>
      </c>
      <c r="M6" s="34"/>
      <c r="O6" s="36">
        <v>3000</v>
      </c>
      <c r="P6" s="644">
        <v>388</v>
      </c>
      <c r="Q6" s="698">
        <v>413</v>
      </c>
      <c r="R6" s="299">
        <v>442</v>
      </c>
      <c r="S6" s="698">
        <v>469</v>
      </c>
      <c r="T6" s="299">
        <v>500</v>
      </c>
      <c r="U6" s="698">
        <v>529</v>
      </c>
      <c r="W6" s="839">
        <v>0</v>
      </c>
      <c r="X6" s="839"/>
      <c r="Y6" s="533" t="s">
        <v>198</v>
      </c>
      <c r="Z6" s="252">
        <v>292</v>
      </c>
      <c r="AA6" s="408">
        <v>1.818181818</v>
      </c>
      <c r="AC6" s="839">
        <v>0</v>
      </c>
      <c r="AD6" s="839"/>
      <c r="AE6" s="533" t="s">
        <v>198</v>
      </c>
      <c r="AF6" s="252">
        <v>327</v>
      </c>
      <c r="AG6" s="408">
        <v>0.4545454545</v>
      </c>
      <c r="AH6"/>
      <c r="AI6" s="237"/>
      <c r="AJ6" s="289">
        <v>3000</v>
      </c>
      <c r="AK6" s="223">
        <v>388</v>
      </c>
      <c r="AL6" s="706">
        <v>2.5178571430000001</v>
      </c>
      <c r="AM6" s="698">
        <f>AK6+AL6*$AM$17</f>
        <v>513.89285715000005</v>
      </c>
      <c r="AN6"/>
      <c r="AO6" s="2"/>
      <c r="AR6" s="17" t="s">
        <v>338</v>
      </c>
      <c r="AS6" s="17">
        <f>C5</f>
        <v>449</v>
      </c>
      <c r="AT6" s="17">
        <v>0.43</v>
      </c>
      <c r="AU6" s="17">
        <f>AS6*AT6</f>
        <v>193.07</v>
      </c>
    </row>
    <row r="7" spans="2:51" ht="15" customHeight="1" thickBot="1" x14ac:dyDescent="0.25">
      <c r="B7" s="62" t="s">
        <v>83</v>
      </c>
      <c r="C7" s="92">
        <v>75</v>
      </c>
      <c r="D7" s="44" t="s">
        <v>65</v>
      </c>
      <c r="F7" s="68" t="s">
        <v>69</v>
      </c>
      <c r="G7" s="5" t="s">
        <v>72</v>
      </c>
      <c r="H7" s="93">
        <v>5</v>
      </c>
      <c r="J7" s="5" t="s">
        <v>73</v>
      </c>
      <c r="K7" s="973">
        <f>X33</f>
        <v>-4.3301270189221954</v>
      </c>
      <c r="L7" s="974"/>
      <c r="M7" s="34"/>
      <c r="O7" s="36">
        <v>5000</v>
      </c>
      <c r="P7" s="644">
        <v>475</v>
      </c>
      <c r="Q7" s="698">
        <v>509</v>
      </c>
      <c r="R7" s="299">
        <v>548</v>
      </c>
      <c r="S7" s="698">
        <v>585</v>
      </c>
      <c r="T7" s="299">
        <v>625</v>
      </c>
      <c r="U7" s="698">
        <v>670</v>
      </c>
      <c r="Y7" s="531" t="s">
        <v>199</v>
      </c>
      <c r="Z7" s="252">
        <v>294</v>
      </c>
      <c r="AA7" s="408">
        <v>1.7272727269999999</v>
      </c>
      <c r="AE7" s="531" t="s">
        <v>199</v>
      </c>
      <c r="AF7" s="252">
        <v>329</v>
      </c>
      <c r="AG7" s="408">
        <v>0.36363636360000001</v>
      </c>
      <c r="AH7"/>
      <c r="AI7" s="2"/>
      <c r="AJ7" s="212">
        <v>5000</v>
      </c>
      <c r="AK7" s="17">
        <v>475</v>
      </c>
      <c r="AL7" s="177">
        <v>3.4821428569999999</v>
      </c>
      <c r="AM7" s="698">
        <f>AK7+AL7*$AM$17</f>
        <v>649.10714284999995</v>
      </c>
      <c r="AN7"/>
      <c r="AO7" s="2"/>
      <c r="AR7" s="17"/>
      <c r="AS7" s="17"/>
      <c r="AT7" s="17"/>
      <c r="AU7" s="17"/>
    </row>
    <row r="8" spans="2:51" ht="15" customHeight="1" thickBot="1" x14ac:dyDescent="0.25">
      <c r="B8" s="62" t="s">
        <v>85</v>
      </c>
      <c r="C8" s="93">
        <v>47</v>
      </c>
      <c r="D8" s="44" t="s">
        <v>65</v>
      </c>
      <c r="F8" s="68" t="s">
        <v>65</v>
      </c>
      <c r="G8" s="5" t="s">
        <v>2</v>
      </c>
      <c r="H8" s="732">
        <f>C22</f>
        <v>661.16</v>
      </c>
      <c r="M8" s="34"/>
      <c r="O8" s="36">
        <v>7000</v>
      </c>
      <c r="P8" s="643">
        <v>600</v>
      </c>
      <c r="Q8" s="699">
        <v>648</v>
      </c>
      <c r="R8" s="697">
        <v>698</v>
      </c>
      <c r="S8" s="699">
        <v>751</v>
      </c>
      <c r="T8" s="697">
        <v>820</v>
      </c>
      <c r="U8" s="699">
        <v>885</v>
      </c>
      <c r="Y8" s="531" t="s">
        <v>200</v>
      </c>
      <c r="Z8" s="17">
        <v>293.25</v>
      </c>
      <c r="AA8" s="138">
        <v>1.75</v>
      </c>
      <c r="AE8" s="531" t="s">
        <v>200</v>
      </c>
      <c r="AF8" s="17">
        <v>330</v>
      </c>
      <c r="AG8" s="138">
        <v>0.33333333329999998</v>
      </c>
      <c r="AH8"/>
      <c r="AI8"/>
      <c r="AJ8" s="704">
        <v>7000</v>
      </c>
      <c r="AK8" s="539">
        <v>600</v>
      </c>
      <c r="AL8" s="707">
        <v>5.0892857139999998</v>
      </c>
      <c r="AM8" s="699">
        <f>AK8+AL8*$AM$17</f>
        <v>854.4642857</v>
      </c>
      <c r="AN8"/>
      <c r="AO8" s="2"/>
      <c r="AR8" s="17" t="s">
        <v>339</v>
      </c>
      <c r="AS8" s="17">
        <f>C7</f>
        <v>75</v>
      </c>
      <c r="AT8" s="17">
        <v>0.27900000000000003</v>
      </c>
      <c r="AU8" s="17">
        <f t="shared" ref="AU8:AU14" si="0">AS8*AT8</f>
        <v>20.925000000000001</v>
      </c>
    </row>
    <row r="9" spans="2:51" ht="15" customHeight="1" thickBot="1" x14ac:dyDescent="0.25">
      <c r="B9" s="62" t="s">
        <v>86</v>
      </c>
      <c r="C9" s="94">
        <v>4</v>
      </c>
      <c r="D9" s="44" t="s">
        <v>65</v>
      </c>
      <c r="F9" s="68" t="s">
        <v>66</v>
      </c>
      <c r="G9" s="5" t="s">
        <v>7</v>
      </c>
      <c r="H9" s="93">
        <v>426</v>
      </c>
      <c r="I9" s="60" t="str">
        <f>IF(H9&gt;8000,"8000 ft max","")</f>
        <v/>
      </c>
      <c r="J9" s="5" t="s">
        <v>96</v>
      </c>
      <c r="K9" s="975">
        <f>IF(H11&gt;1013,H9-(H11-1013)*28,H9+(1013-H11)*28)</f>
        <v>426</v>
      </c>
      <c r="L9" s="976"/>
      <c r="M9" s="34"/>
      <c r="O9" s="2"/>
      <c r="P9" s="1"/>
      <c r="Q9" s="1"/>
      <c r="R9" s="1"/>
      <c r="S9" s="1"/>
      <c r="T9" s="1"/>
      <c r="U9" s="1"/>
      <c r="W9" s="237"/>
      <c r="X9" s="237"/>
      <c r="Y9" s="532" t="s">
        <v>201</v>
      </c>
      <c r="Z9" s="410">
        <v>290.18181820000001</v>
      </c>
      <c r="AA9" s="411">
        <v>1.818181818</v>
      </c>
      <c r="AB9" s="237"/>
      <c r="AC9" s="237"/>
      <c r="AD9" s="237"/>
      <c r="AE9" s="532" t="s">
        <v>201</v>
      </c>
      <c r="AF9" s="410">
        <v>324.54545450000001</v>
      </c>
      <c r="AG9" s="411">
        <v>0.4545454545</v>
      </c>
      <c r="AH9" s="237"/>
      <c r="AI9"/>
      <c r="AJ9"/>
      <c r="AK9"/>
      <c r="AL9"/>
      <c r="AM9"/>
      <c r="AN9"/>
      <c r="AO9" s="2"/>
      <c r="AR9" s="17"/>
      <c r="AS9" s="17"/>
      <c r="AT9" s="17"/>
      <c r="AU9" s="17"/>
    </row>
    <row r="10" spans="2:51" ht="15" customHeight="1" thickBot="1" x14ac:dyDescent="0.25">
      <c r="B10" s="62"/>
      <c r="C10" s="87"/>
      <c r="D10" s="44"/>
      <c r="F10" s="68" t="s">
        <v>67</v>
      </c>
      <c r="G10" s="5" t="s">
        <v>0</v>
      </c>
      <c r="H10" s="93">
        <v>32</v>
      </c>
      <c r="I10" s="60" t="str">
        <f>IF(H10&gt;35,"35° max","")</f>
        <v/>
      </c>
      <c r="M10" s="34"/>
      <c r="P10" s="1" t="s">
        <v>202</v>
      </c>
      <c r="Q10" s="535">
        <f>H10+18</f>
        <v>50</v>
      </c>
      <c r="R10" s="1"/>
      <c r="S10" s="1"/>
      <c r="T10" s="1"/>
      <c r="U10" s="1"/>
      <c r="Y10" s="534"/>
      <c r="Z10" s="237"/>
      <c r="AA10" s="237"/>
      <c r="AE10" s="534"/>
      <c r="AF10" s="237"/>
      <c r="AG10" s="237"/>
      <c r="AH10"/>
      <c r="AI10" s="237"/>
      <c r="AJ10" s="237"/>
      <c r="AK10"/>
      <c r="AL10"/>
      <c r="AM10"/>
      <c r="AN10"/>
      <c r="AO10" s="2"/>
      <c r="AR10" s="17" t="s">
        <v>340</v>
      </c>
      <c r="AS10" s="17">
        <f>C8</f>
        <v>47</v>
      </c>
      <c r="AT10" s="17">
        <v>0.93700000000000006</v>
      </c>
      <c r="AU10" s="17">
        <f t="shared" si="0"/>
        <v>44.039000000000001</v>
      </c>
    </row>
    <row r="11" spans="2:51" ht="15" customHeight="1" thickBot="1" x14ac:dyDescent="0.25">
      <c r="B11" s="62"/>
      <c r="C11" s="87"/>
      <c r="D11" s="44"/>
      <c r="F11" s="68" t="s">
        <v>68</v>
      </c>
      <c r="G11" s="5" t="s">
        <v>8</v>
      </c>
      <c r="H11" s="93">
        <v>1013</v>
      </c>
      <c r="J11" s="43"/>
      <c r="K11" s="287"/>
      <c r="M11" s="34"/>
      <c r="O11" s="2"/>
      <c r="P11" s="1"/>
      <c r="Q11" s="1"/>
      <c r="R11" s="1"/>
      <c r="S11" s="1"/>
      <c r="T11" s="1"/>
      <c r="U11" s="1"/>
      <c r="W11" s="978">
        <v>3000</v>
      </c>
      <c r="X11" s="978"/>
      <c r="Y11" s="530" t="s">
        <v>197</v>
      </c>
      <c r="Z11" s="254">
        <v>388</v>
      </c>
      <c r="AA11" s="238">
        <v>2.2727272730000001</v>
      </c>
      <c r="AC11" s="978">
        <v>3000</v>
      </c>
      <c r="AD11" s="978"/>
      <c r="AE11" s="530" t="s">
        <v>197</v>
      </c>
      <c r="AF11" s="254">
        <v>339</v>
      </c>
      <c r="AG11" s="238">
        <v>0.4545454545</v>
      </c>
      <c r="AH11"/>
      <c r="AI11" s="237"/>
      <c r="AJ11" s="231"/>
      <c r="AK11" s="134" t="s">
        <v>172</v>
      </c>
      <c r="AL11" s="705" t="s">
        <v>173</v>
      </c>
      <c r="AM11" s="683" t="s">
        <v>329</v>
      </c>
      <c r="AN11"/>
      <c r="AO11" s="2"/>
      <c r="AR11" s="17"/>
      <c r="AS11" s="17"/>
      <c r="AT11" s="17"/>
      <c r="AU11" s="17"/>
    </row>
    <row r="12" spans="2:51" ht="15" customHeight="1" thickBot="1" x14ac:dyDescent="0.25">
      <c r="B12" s="62"/>
      <c r="C12" s="58" t="s">
        <v>87</v>
      </c>
      <c r="D12" s="44"/>
      <c r="F12" s="68" t="s">
        <v>69</v>
      </c>
      <c r="G12" s="5" t="s">
        <v>22</v>
      </c>
      <c r="H12" s="733">
        <f>X33</f>
        <v>-4.3301270189221954</v>
      </c>
      <c r="I12" s="79"/>
      <c r="J12" s="43"/>
      <c r="K12" s="287"/>
      <c r="M12" s="34"/>
      <c r="O12" s="1" t="s">
        <v>203</v>
      </c>
      <c r="P12" s="1"/>
      <c r="Q12" s="1"/>
      <c r="R12" s="1"/>
      <c r="S12" s="1" t="s">
        <v>23</v>
      </c>
      <c r="T12" s="1"/>
      <c r="U12" s="1"/>
      <c r="W12" s="536"/>
      <c r="X12" s="536"/>
      <c r="Y12" s="533" t="s">
        <v>198</v>
      </c>
      <c r="Z12" s="252">
        <v>384</v>
      </c>
      <c r="AA12" s="408">
        <v>2.636363636</v>
      </c>
      <c r="AC12" s="536"/>
      <c r="AD12" s="536"/>
      <c r="AE12" s="533" t="s">
        <v>198</v>
      </c>
      <c r="AF12" s="252">
        <v>338</v>
      </c>
      <c r="AG12" s="408">
        <v>0.54545454550000005</v>
      </c>
      <c r="AH12"/>
      <c r="AI12" s="237"/>
      <c r="AJ12" s="289">
        <v>0</v>
      </c>
      <c r="AK12" s="223">
        <v>328</v>
      </c>
      <c r="AL12" s="706">
        <v>0.39285714290000001</v>
      </c>
      <c r="AM12" s="698">
        <f>AK12+AL12*$AM$17</f>
        <v>347.64285714499999</v>
      </c>
      <c r="AN12"/>
      <c r="AO12" s="1" t="s">
        <v>181</v>
      </c>
      <c r="AP12" s="676">
        <f>IF(K9&lt;3000,AM12+(AM13-AM12)/3000*K9,IF(K9&lt;5000,AM13+(AM14-AM13)/2000*(K9-3000),IF(K9&lt;7000,AM14+(AM15-AM14)/2000*(K9-5000),AM15+(AM15-AM14)/2000*(K9-7000))))</f>
        <v>349.71200000194</v>
      </c>
      <c r="AR12" s="17" t="s">
        <v>341</v>
      </c>
      <c r="AS12" s="17">
        <f>C9</f>
        <v>4</v>
      </c>
      <c r="AT12" s="17">
        <v>1.4470000000000001</v>
      </c>
      <c r="AU12" s="17">
        <f t="shared" si="0"/>
        <v>5.7880000000000003</v>
      </c>
    </row>
    <row r="13" spans="2:51" ht="15" customHeight="1" thickBot="1" x14ac:dyDescent="0.25">
      <c r="B13" s="62" t="s">
        <v>90</v>
      </c>
      <c r="C13" s="105">
        <v>60</v>
      </c>
      <c r="D13" s="44" t="s">
        <v>88</v>
      </c>
      <c r="F13" s="68"/>
      <c r="G13" s="5"/>
      <c r="H13" s="545"/>
      <c r="M13" s="34"/>
      <c r="O13" s="177">
        <v>0</v>
      </c>
      <c r="P13" s="553">
        <f>IF($Q$10&lt;=11,Z5+AA5*$Q$10,IF($Q$10&lt;=22,Z6+AA6*$Q$10,IF($Q$10&lt;=33,Z7+AA7*$Q$10,IF($Q$10&lt;=45,Z8+AA8*$Q$10,Z9+AA9*$Q$10))))</f>
        <v>381.09090909999998</v>
      </c>
      <c r="Q13" s="1"/>
      <c r="R13" s="1"/>
      <c r="S13" s="552">
        <f>IF(K9&lt;=3000,P13+((P14-P13)/3000)*K9,IF(K9&lt;=5000,P14+((P15-P14)/2000)*(K9-3000),P15+((P16-P15)/2000)*(K9-5000)))</f>
        <v>399.84781819219995</v>
      </c>
      <c r="T13" s="1"/>
      <c r="U13" s="1"/>
      <c r="W13" s="538"/>
      <c r="X13" s="538"/>
      <c r="Y13" s="531" t="s">
        <v>199</v>
      </c>
      <c r="Z13" s="252">
        <v>388</v>
      </c>
      <c r="AA13" s="408">
        <v>2.4545454549999999</v>
      </c>
      <c r="AC13" s="538"/>
      <c r="AD13" s="538"/>
      <c r="AE13" s="531" t="s">
        <v>199</v>
      </c>
      <c r="AF13" s="252">
        <v>340</v>
      </c>
      <c r="AG13" s="408">
        <v>0.4545454545</v>
      </c>
      <c r="AH13"/>
      <c r="AI13"/>
      <c r="AJ13" s="289">
        <v>3000</v>
      </c>
      <c r="AK13" s="223">
        <v>339</v>
      </c>
      <c r="AL13" s="706">
        <v>0.46428571429999999</v>
      </c>
      <c r="AM13" s="698">
        <f>AK13+AL13*$AM$17</f>
        <v>362.21428571500002</v>
      </c>
      <c r="AN13"/>
      <c r="AO13" s="2"/>
      <c r="AR13" s="3"/>
      <c r="AS13" s="3"/>
      <c r="AT13" s="3"/>
      <c r="AU13" s="17"/>
    </row>
    <row r="14" spans="2:51" ht="15" customHeight="1" thickBot="1" x14ac:dyDescent="0.25">
      <c r="B14" s="62"/>
      <c r="C14" s="232" t="str">
        <f>IF(C13&gt;68,"max 68 Li","")</f>
        <v/>
      </c>
      <c r="D14" s="59"/>
      <c r="F14" s="33"/>
      <c r="M14" s="34"/>
      <c r="O14" s="544">
        <v>3000</v>
      </c>
      <c r="P14" s="553">
        <f>IF($Q$10&lt;=11,Z11+AA11*$Q$10,IF($Q$10&lt;=22,Z12+AA12*$Q$10,IF($Q$10&lt;=33,Z13+AA13*$Q$10,IF($Q$10&lt;=45,Z14+AA14*$Q$10,Z15+AA15*$Q$10))))</f>
        <v>513.18181819999995</v>
      </c>
      <c r="Q14" s="1"/>
      <c r="R14" s="1"/>
      <c r="S14" s="1"/>
      <c r="T14" s="1"/>
      <c r="U14" s="1"/>
      <c r="W14" s="538"/>
      <c r="X14" s="538"/>
      <c r="Y14" s="531" t="s">
        <v>200</v>
      </c>
      <c r="Z14" s="17">
        <v>383.75</v>
      </c>
      <c r="AA14" s="138">
        <v>2.5833333330000001</v>
      </c>
      <c r="AC14" s="538"/>
      <c r="AD14" s="538"/>
      <c r="AE14" s="531" t="s">
        <v>200</v>
      </c>
      <c r="AF14" s="17">
        <v>341.25</v>
      </c>
      <c r="AG14" s="138">
        <v>0.41666666670000002</v>
      </c>
      <c r="AH14"/>
      <c r="AI14"/>
      <c r="AJ14" s="212">
        <v>5000</v>
      </c>
      <c r="AK14" s="17">
        <v>349</v>
      </c>
      <c r="AL14" s="177">
        <v>0.46428571429999999</v>
      </c>
      <c r="AM14" s="698">
        <f>AK14+AL14*$AM$17</f>
        <v>372.21428571500002</v>
      </c>
      <c r="AN14"/>
      <c r="AO14" s="2" t="s">
        <v>342</v>
      </c>
      <c r="AP14" s="251">
        <f>AP12-190</f>
        <v>159.71200000194</v>
      </c>
      <c r="AR14" s="17" t="s">
        <v>87</v>
      </c>
      <c r="AS14" s="554">
        <f>C20</f>
        <v>86.16</v>
      </c>
      <c r="AT14" s="17">
        <v>0.60899999999999999</v>
      </c>
      <c r="AU14" s="17">
        <f t="shared" si="0"/>
        <v>52.471439999999994</v>
      </c>
    </row>
    <row r="15" spans="2:51" ht="24.95" customHeight="1" thickBot="1" x14ac:dyDescent="0.25">
      <c r="B15" s="62" t="s">
        <v>91</v>
      </c>
      <c r="C15" s="495">
        <v>60</v>
      </c>
      <c r="D15" s="44" t="s">
        <v>88</v>
      </c>
      <c r="F15" s="918" t="s">
        <v>282</v>
      </c>
      <c r="G15" s="919"/>
      <c r="H15" s="919"/>
      <c r="I15" s="919"/>
      <c r="J15" s="919"/>
      <c r="K15" s="919"/>
      <c r="L15" s="919"/>
      <c r="M15" s="920"/>
      <c r="O15" s="544">
        <v>5000</v>
      </c>
      <c r="P15" s="553">
        <f>IF($Q$10&lt;=11,Z17+AA17*$Q$10,IF($Q$10&lt;=22,Z18+AA18*$Q$10,IF($Q$10&lt;=33,Z19+AA19*$Q$10,IF($Q$10&lt;=45,Z20+AA20*$Q$10,Z21+AA21*$Q$10))))</f>
        <v>645.45454545000007</v>
      </c>
      <c r="Q15" s="1"/>
      <c r="R15" s="1"/>
      <c r="S15" s="1"/>
      <c r="T15" s="1"/>
      <c r="U15" s="1"/>
      <c r="W15" s="537"/>
      <c r="X15" s="537"/>
      <c r="Y15" s="532" t="s">
        <v>201</v>
      </c>
      <c r="Z15" s="539">
        <v>381.36363640000002</v>
      </c>
      <c r="AA15" s="540">
        <v>2.636363636</v>
      </c>
      <c r="AC15" s="537"/>
      <c r="AD15" s="537"/>
      <c r="AE15" s="532" t="s">
        <v>201</v>
      </c>
      <c r="AF15" s="539">
        <v>339.54545450000001</v>
      </c>
      <c r="AG15" s="540">
        <v>0.4545454545</v>
      </c>
      <c r="AJ15" s="704">
        <v>7000</v>
      </c>
      <c r="AK15" s="539">
        <v>359</v>
      </c>
      <c r="AL15" s="707">
        <v>0.46428571429999999</v>
      </c>
      <c r="AM15" s="699">
        <f>AK15+AL15*$AM$17</f>
        <v>382.21428571500002</v>
      </c>
      <c r="AO15" s="2"/>
    </row>
    <row r="16" spans="2:51" ht="15" customHeight="1" thickBot="1" x14ac:dyDescent="0.25">
      <c r="B16" s="62"/>
      <c r="C16" s="232" t="str">
        <f>IF(C15&gt;68,"max 68 Li","")</f>
        <v/>
      </c>
      <c r="D16" s="59"/>
      <c r="F16" s="33"/>
      <c r="H16" s="227" t="s">
        <v>97</v>
      </c>
      <c r="I16" s="546"/>
      <c r="J16" s="264"/>
      <c r="M16" s="34"/>
      <c r="O16" s="544">
        <v>7000</v>
      </c>
      <c r="P16" s="535">
        <f>IF($Q$10&lt;=11,Z23+AA23*$Q$10,IF($Q$10&lt;=22,Z24+AA24*$Q$10,IF($Q$10&lt;=33,Z25+AA25*$Q$10,IF($Q$10&lt;=45,Z26+AA26*$Q$10,Z27+AA27*$Q$10))))</f>
        <v>849.54545454999993</v>
      </c>
      <c r="Q16" s="1"/>
      <c r="R16" s="1"/>
      <c r="S16" s="1"/>
      <c r="T16" s="1"/>
      <c r="U16" s="1"/>
      <c r="W16" s="538"/>
      <c r="X16" s="538"/>
      <c r="Z16" s="2"/>
      <c r="AA16" s="2"/>
      <c r="AC16" s="538"/>
      <c r="AD16" s="538"/>
      <c r="AF16" s="2"/>
      <c r="AG16" s="2"/>
      <c r="AH16" s="163"/>
      <c r="AI16" s="163"/>
      <c r="AJ16" s="163"/>
      <c r="AK16" s="163"/>
      <c r="AL16"/>
      <c r="AM16"/>
      <c r="AO16" s="2"/>
      <c r="AR16" s="251" t="s">
        <v>92</v>
      </c>
      <c r="AS16" s="712">
        <f>SUM(AS6:AS14)</f>
        <v>661.16</v>
      </c>
      <c r="AT16" s="711">
        <f>AU16/AS16</f>
        <v>0.4783916752374614</v>
      </c>
      <c r="AU16" s="713">
        <f>SUM(AU6:AU14)</f>
        <v>316.29343999999998</v>
      </c>
    </row>
    <row r="17" spans="2:48" ht="24.95" customHeight="1" thickBot="1" x14ac:dyDescent="0.25">
      <c r="B17" s="63" t="s">
        <v>92</v>
      </c>
      <c r="D17" s="44"/>
      <c r="F17" s="33"/>
      <c r="G17" s="67" t="s">
        <v>98</v>
      </c>
      <c r="H17" s="731">
        <f>AP5</f>
        <v>400.20785715</v>
      </c>
      <c r="I17" s="69" t="s">
        <v>48</v>
      </c>
      <c r="J17" s="69"/>
      <c r="M17" s="34"/>
      <c r="O17" s="2"/>
      <c r="P17" s="1"/>
      <c r="Q17" s="1"/>
      <c r="R17" s="1"/>
      <c r="S17" s="1"/>
      <c r="T17" s="1"/>
      <c r="U17" s="1"/>
      <c r="W17" s="977">
        <v>5000</v>
      </c>
      <c r="X17" s="977"/>
      <c r="Y17" s="530" t="s">
        <v>197</v>
      </c>
      <c r="Z17" s="541">
        <v>475</v>
      </c>
      <c r="AA17" s="542">
        <v>3.0909090909999999</v>
      </c>
      <c r="AB17" s="4"/>
      <c r="AC17" s="977">
        <v>5000</v>
      </c>
      <c r="AD17" s="977"/>
      <c r="AE17" s="530" t="s">
        <v>197</v>
      </c>
      <c r="AF17" s="541">
        <v>349</v>
      </c>
      <c r="AG17" s="542">
        <v>0.4545454545</v>
      </c>
      <c r="AH17" s="4"/>
      <c r="AI17" s="4"/>
      <c r="AJ17" s="2" t="s">
        <v>181</v>
      </c>
      <c r="AK17" s="5"/>
      <c r="AL17" s="177" t="s">
        <v>336</v>
      </c>
      <c r="AM17" s="708">
        <f>H10+18</f>
        <v>50</v>
      </c>
    </row>
    <row r="18" spans="2:48" ht="15" customHeight="1" thickBot="1" x14ac:dyDescent="0.25">
      <c r="B18" s="64" t="s">
        <v>87</v>
      </c>
      <c r="C18" s="726">
        <f>C13+C15</f>
        <v>120</v>
      </c>
      <c r="D18" s="44" t="s">
        <v>88</v>
      </c>
      <c r="F18" s="33"/>
      <c r="H18" s="459" t="s">
        <v>204</v>
      </c>
      <c r="I18" s="459"/>
      <c r="M18" s="34"/>
      <c r="O18" s="944" t="s">
        <v>205</v>
      </c>
      <c r="P18" s="944"/>
      <c r="Q18" s="2" t="s">
        <v>193</v>
      </c>
      <c r="R18" s="1"/>
      <c r="S18" s="1"/>
      <c r="T18" s="1"/>
      <c r="U18" s="1"/>
      <c r="W18" s="1" t="s">
        <v>4</v>
      </c>
      <c r="Y18" s="533" t="s">
        <v>198</v>
      </c>
      <c r="Z18" s="223">
        <v>470</v>
      </c>
      <c r="AA18" s="543">
        <v>3.5454545450000001</v>
      </c>
      <c r="AB18" s="4"/>
      <c r="AC18" s="1" t="s">
        <v>4</v>
      </c>
      <c r="AE18" s="533" t="s">
        <v>198</v>
      </c>
      <c r="AF18" s="223">
        <v>348</v>
      </c>
      <c r="AG18" s="543">
        <v>0.54545454550000005</v>
      </c>
      <c r="AH18" s="4"/>
      <c r="AI18" s="2"/>
      <c r="AJ18" s="2"/>
      <c r="AK18"/>
      <c r="AL18"/>
      <c r="AM18"/>
      <c r="AS18" s="2" t="s">
        <v>343</v>
      </c>
      <c r="AT18" s="260">
        <f>0.03953676471+(0.0004632352941*C22)</f>
        <v>0.34580941175715596</v>
      </c>
    </row>
    <row r="19" spans="2:48" ht="24.95" customHeight="1" thickBot="1" x14ac:dyDescent="0.25">
      <c r="B19" s="63" t="s">
        <v>92</v>
      </c>
      <c r="D19" s="51" t="s">
        <v>4</v>
      </c>
      <c r="F19" s="918" t="s">
        <v>283</v>
      </c>
      <c r="G19" s="919"/>
      <c r="H19" s="919"/>
      <c r="I19" s="919"/>
      <c r="J19" s="919"/>
      <c r="K19" s="919"/>
      <c r="L19" s="919"/>
      <c r="M19" s="920"/>
      <c r="O19" s="8" t="s">
        <v>0</v>
      </c>
      <c r="P19" s="680">
        <v>0</v>
      </c>
      <c r="Q19" s="684">
        <v>11</v>
      </c>
      <c r="R19" s="696">
        <v>22</v>
      </c>
      <c r="S19" s="684">
        <v>33</v>
      </c>
      <c r="T19" s="696">
        <v>45</v>
      </c>
      <c r="U19" s="684">
        <v>56</v>
      </c>
      <c r="Y19" s="531" t="s">
        <v>199</v>
      </c>
      <c r="Z19" s="223">
        <v>474</v>
      </c>
      <c r="AA19" s="543">
        <v>3.363636364</v>
      </c>
      <c r="AB19" s="2"/>
      <c r="AE19" s="531" t="s">
        <v>199</v>
      </c>
      <c r="AF19" s="223">
        <v>350</v>
      </c>
      <c r="AG19" s="543">
        <v>0.4545454545</v>
      </c>
      <c r="AH19" s="2"/>
      <c r="AI19" s="2"/>
      <c r="AJ19" s="231"/>
      <c r="AK19" s="134" t="s">
        <v>172</v>
      </c>
      <c r="AL19" s="705" t="s">
        <v>173</v>
      </c>
      <c r="AM19" s="683" t="s">
        <v>329</v>
      </c>
      <c r="AT19" s="2"/>
    </row>
    <row r="20" spans="2:48" ht="15" customHeight="1" thickBot="1" x14ac:dyDescent="0.25">
      <c r="B20" s="64" t="s">
        <v>87</v>
      </c>
      <c r="C20" s="729">
        <f>C18*0.718</f>
        <v>86.16</v>
      </c>
      <c r="D20" s="55" t="s">
        <v>65</v>
      </c>
      <c r="F20" s="33"/>
      <c r="H20" s="546"/>
      <c r="I20" s="546"/>
      <c r="M20" s="34"/>
      <c r="O20" s="8" t="s">
        <v>1</v>
      </c>
      <c r="P20" s="4"/>
      <c r="Q20" s="4"/>
      <c r="R20" s="4"/>
      <c r="S20" s="4"/>
      <c r="T20" s="4"/>
      <c r="U20" s="4"/>
      <c r="Y20" s="531" t="s">
        <v>200</v>
      </c>
      <c r="Z20" s="17">
        <v>475</v>
      </c>
      <c r="AA20" s="138">
        <v>3.3333333330000001</v>
      </c>
      <c r="AE20" s="531" t="s">
        <v>200</v>
      </c>
      <c r="AF20" s="17">
        <v>351.25</v>
      </c>
      <c r="AG20" s="138">
        <v>0.41666666670000002</v>
      </c>
      <c r="AJ20" s="289">
        <v>0</v>
      </c>
      <c r="AK20" s="223">
        <v>293</v>
      </c>
      <c r="AL20" s="706">
        <v>4.3857142859999997E-2</v>
      </c>
      <c r="AM20" s="698">
        <f t="shared" ref="AM20:AM25" si="1">AK20+AL20*$AM$17</f>
        <v>295.19285714300003</v>
      </c>
      <c r="AS20" s="2" t="s">
        <v>301</v>
      </c>
      <c r="AT20" s="865" t="str">
        <f>IF(AT16&lt;0.292,AV20,IF(AT16&gt;0.533,AT20,IF(AT16&lt;AT18,AV20,AV21)))</f>
        <v>"Centrage correct"</v>
      </c>
      <c r="AU20" s="867"/>
      <c r="AV20" s="1" t="s">
        <v>344</v>
      </c>
    </row>
    <row r="21" spans="2:48" ht="15" customHeight="1" thickBot="1" x14ac:dyDescent="0.25">
      <c r="B21" s="62"/>
      <c r="D21" s="51"/>
      <c r="F21" s="33"/>
      <c r="G21" s="617" t="s">
        <v>3</v>
      </c>
      <c r="H21" s="616" t="s">
        <v>284</v>
      </c>
      <c r="I21" s="548"/>
      <c r="M21" s="34"/>
      <c r="O21" s="658">
        <v>0</v>
      </c>
      <c r="P21" s="683">
        <v>328</v>
      </c>
      <c r="Q21" s="679">
        <v>332</v>
      </c>
      <c r="R21" s="683">
        <v>337</v>
      </c>
      <c r="S21" s="679">
        <v>341</v>
      </c>
      <c r="T21" s="683">
        <v>345</v>
      </c>
      <c r="U21" s="695">
        <v>350</v>
      </c>
      <c r="Y21" s="532" t="s">
        <v>201</v>
      </c>
      <c r="Z21" s="539">
        <v>440.90909090000002</v>
      </c>
      <c r="AA21" s="540">
        <v>4.0909090910000003</v>
      </c>
      <c r="AE21" s="532" t="s">
        <v>201</v>
      </c>
      <c r="AF21" s="539">
        <v>349.54545450000001</v>
      </c>
      <c r="AG21" s="540">
        <v>0.4545454545</v>
      </c>
      <c r="AJ21" s="289">
        <v>11</v>
      </c>
      <c r="AK21" s="223">
        <v>312</v>
      </c>
      <c r="AL21" s="706">
        <v>4.8000000000000001E-2</v>
      </c>
      <c r="AM21" s="698">
        <f t="shared" si="1"/>
        <v>314.39999999999998</v>
      </c>
      <c r="AV21" s="1" t="s">
        <v>316</v>
      </c>
    </row>
    <row r="22" spans="2:48" ht="15" customHeight="1" thickBot="1" x14ac:dyDescent="0.25">
      <c r="B22" s="64" t="s">
        <v>93</v>
      </c>
      <c r="C22" s="730">
        <f>C5+SUM(C7:C11)+C20</f>
        <v>661.16</v>
      </c>
      <c r="D22" s="55" t="s">
        <v>65</v>
      </c>
      <c r="F22" s="33"/>
      <c r="H22" s="547" t="s">
        <v>103</v>
      </c>
      <c r="I22" s="548"/>
      <c r="M22" s="34"/>
      <c r="O22" s="701">
        <v>3000</v>
      </c>
      <c r="P22" s="698">
        <v>339</v>
      </c>
      <c r="Q22" s="299">
        <v>344</v>
      </c>
      <c r="R22" s="698">
        <v>350</v>
      </c>
      <c r="S22" s="299">
        <v>355</v>
      </c>
      <c r="T22" s="698">
        <v>360</v>
      </c>
      <c r="U22" s="340">
        <v>365</v>
      </c>
      <c r="Y22"/>
      <c r="Z22"/>
      <c r="AA22"/>
      <c r="AB22"/>
      <c r="AE22"/>
      <c r="AF22"/>
      <c r="AG22"/>
      <c r="AH22"/>
      <c r="AI22"/>
      <c r="AJ22" s="212">
        <v>22</v>
      </c>
      <c r="AK22" s="17">
        <v>332</v>
      </c>
      <c r="AL22" s="177">
        <v>5.228571429E-2</v>
      </c>
      <c r="AM22" s="698">
        <f t="shared" si="1"/>
        <v>334.6142857145</v>
      </c>
    </row>
    <row r="23" spans="2:48" ht="24.95" customHeight="1" thickBot="1" x14ac:dyDescent="0.25">
      <c r="B23" s="33"/>
      <c r="C23" s="60" t="str">
        <f>IF(C22&gt;681,"max 681 Kg","")</f>
        <v/>
      </c>
      <c r="D23" s="34"/>
      <c r="F23" s="615" t="s">
        <v>37</v>
      </c>
      <c r="G23" s="731">
        <f>AP14</f>
        <v>159.71200000194</v>
      </c>
      <c r="H23" s="731">
        <f>AP12</f>
        <v>349.71200000194</v>
      </c>
      <c r="I23" s="69" t="s">
        <v>48</v>
      </c>
      <c r="J23" s="69"/>
      <c r="M23" s="34"/>
      <c r="O23" s="701">
        <v>5000</v>
      </c>
      <c r="P23" s="698">
        <v>349</v>
      </c>
      <c r="Q23" s="299">
        <v>354</v>
      </c>
      <c r="R23" s="698">
        <v>360</v>
      </c>
      <c r="S23" s="299">
        <v>365</v>
      </c>
      <c r="T23" s="698">
        <v>370</v>
      </c>
      <c r="U23" s="340">
        <v>375</v>
      </c>
      <c r="W23" s="977">
        <v>7000</v>
      </c>
      <c r="X23" s="977"/>
      <c r="Y23" s="530" t="s">
        <v>197</v>
      </c>
      <c r="Z23" s="541">
        <v>600</v>
      </c>
      <c r="AA23" s="542">
        <v>4.3636363640000004</v>
      </c>
      <c r="AC23" s="977">
        <v>7000</v>
      </c>
      <c r="AD23" s="977"/>
      <c r="AE23" s="530" t="s">
        <v>197</v>
      </c>
      <c r="AF23" s="541">
        <v>359</v>
      </c>
      <c r="AG23" s="542">
        <v>0.4545454545</v>
      </c>
      <c r="AH23" s="2"/>
      <c r="AI23" s="2"/>
      <c r="AJ23" s="289">
        <v>33</v>
      </c>
      <c r="AK23" s="223">
        <v>351</v>
      </c>
      <c r="AL23" s="706">
        <v>5.7142857140000003E-2</v>
      </c>
      <c r="AM23" s="698">
        <f t="shared" si="1"/>
        <v>353.85714285699999</v>
      </c>
      <c r="AT23" s="5">
        <f>IF(C22&gt;545,1,2)</f>
        <v>1</v>
      </c>
    </row>
    <row r="24" spans="2:48" ht="15" customHeight="1" thickBot="1" x14ac:dyDescent="0.25">
      <c r="B24" s="33"/>
      <c r="C24" s="5" t="s">
        <v>287</v>
      </c>
      <c r="D24" s="34"/>
      <c r="F24" s="33"/>
      <c r="M24" s="34"/>
      <c r="O24" s="702">
        <v>7000</v>
      </c>
      <c r="P24" s="699">
        <v>359</v>
      </c>
      <c r="Q24" s="697">
        <v>364</v>
      </c>
      <c r="R24" s="699">
        <v>370</v>
      </c>
      <c r="S24" s="697">
        <v>375</v>
      </c>
      <c r="T24" s="699">
        <v>380</v>
      </c>
      <c r="U24" s="703">
        <v>385</v>
      </c>
      <c r="W24" s="1" t="s">
        <v>4</v>
      </c>
      <c r="Y24" s="533" t="s">
        <v>198</v>
      </c>
      <c r="Z24" s="223">
        <v>598</v>
      </c>
      <c r="AA24" s="543">
        <v>4.5454545450000001</v>
      </c>
      <c r="AC24" s="1" t="s">
        <v>4</v>
      </c>
      <c r="AE24" s="533" t="s">
        <v>198</v>
      </c>
      <c r="AF24" s="223">
        <v>358</v>
      </c>
      <c r="AG24" s="543">
        <v>0.54545454550000005</v>
      </c>
      <c r="AH24" s="2"/>
      <c r="AI24" s="2"/>
      <c r="AJ24" s="212">
        <v>45</v>
      </c>
      <c r="AK24" s="17">
        <v>372</v>
      </c>
      <c r="AL24" s="165">
        <v>6.4000000000000001E-2</v>
      </c>
      <c r="AM24" s="698">
        <f t="shared" si="1"/>
        <v>375.2</v>
      </c>
    </row>
    <row r="25" spans="2:48" ht="24.95" customHeight="1" thickTop="1" thickBot="1" x14ac:dyDescent="0.25">
      <c r="B25" s="970" t="str">
        <f>AT20</f>
        <v>"Centrage correct"</v>
      </c>
      <c r="C25" s="971"/>
      <c r="D25" s="972"/>
      <c r="F25" s="549"/>
      <c r="G25" s="549"/>
      <c r="H25" s="550"/>
      <c r="I25" s="550"/>
      <c r="J25" s="551"/>
      <c r="K25" s="110"/>
      <c r="L25" s="110"/>
      <c r="M25" s="110"/>
      <c r="O25" s="8"/>
      <c r="P25" s="1"/>
      <c r="Q25" s="1"/>
      <c r="R25" s="1"/>
      <c r="S25" s="1"/>
      <c r="T25" s="1"/>
      <c r="U25" s="1"/>
      <c r="Y25" s="531" t="s">
        <v>199</v>
      </c>
      <c r="Z25" s="223">
        <v>592</v>
      </c>
      <c r="AA25" s="543">
        <v>4.8181818180000002</v>
      </c>
      <c r="AE25" s="531" t="s">
        <v>199</v>
      </c>
      <c r="AF25" s="223">
        <v>360</v>
      </c>
      <c r="AG25" s="543">
        <v>0.4545454545</v>
      </c>
      <c r="AH25" s="4"/>
      <c r="AI25" s="4"/>
      <c r="AJ25" s="143">
        <v>56</v>
      </c>
      <c r="AK25" s="144">
        <v>392</v>
      </c>
      <c r="AL25" s="167">
        <v>7.0428571430000003E-2</v>
      </c>
      <c r="AM25" s="699">
        <f t="shared" si="1"/>
        <v>395.5214285715</v>
      </c>
    </row>
    <row r="26" spans="2:48" ht="15" customHeight="1" thickBot="1" x14ac:dyDescent="0.25">
      <c r="B26" s="52"/>
      <c r="C26" s="53"/>
      <c r="D26" s="54"/>
      <c r="F26" s="1" t="s">
        <v>4</v>
      </c>
      <c r="O26" s="1" t="s">
        <v>203</v>
      </c>
      <c r="P26" s="1"/>
      <c r="Q26" s="1"/>
      <c r="R26" s="1"/>
      <c r="S26" s="1" t="s">
        <v>23</v>
      </c>
      <c r="T26" s="1"/>
      <c r="U26" s="1"/>
      <c r="Y26" s="531" t="s">
        <v>200</v>
      </c>
      <c r="Z26" s="17">
        <v>561.25</v>
      </c>
      <c r="AA26" s="138">
        <v>5.75</v>
      </c>
      <c r="AB26" s="2"/>
      <c r="AE26" s="531" t="s">
        <v>200</v>
      </c>
      <c r="AF26" s="17">
        <v>361.25</v>
      </c>
      <c r="AG26" s="138">
        <v>0.41666666670000002</v>
      </c>
      <c r="AH26"/>
      <c r="AI26" s="237"/>
      <c r="AJ26" s="237"/>
      <c r="AK26" s="2"/>
    </row>
    <row r="27" spans="2:48" ht="15" customHeight="1" thickTop="1" thickBot="1" x14ac:dyDescent="0.25">
      <c r="O27" s="177">
        <v>0</v>
      </c>
      <c r="P27" s="553">
        <f>IF($Q$10&lt;=11,AF5+AG5*$Q$10,IF($Q$10&lt;=22,AF6+AG6*$Q$10,IF($Q$10&lt;=33,AF7+AG7*$Q$10,IF($Q$10&lt;=45,AF8+AG8*$Q$10,AF9+AG9*$Q$10))))</f>
        <v>347.27272722499998</v>
      </c>
      <c r="Q27" s="1"/>
      <c r="R27" s="1"/>
      <c r="S27" s="552">
        <f>IF(K9&lt;=3000,P27+((P28-P27)/3000)*K9,IF(K9&lt;=5000,P28+((P29-P28)/2000)*(K9-3000),P29+((P30-P29)/2000)*(K9-5000)))</f>
        <v>349.40272722499998</v>
      </c>
      <c r="T27" s="1"/>
      <c r="U27" s="1"/>
      <c r="Y27" s="532" t="s">
        <v>201</v>
      </c>
      <c r="Z27" s="539">
        <v>554.09090909999998</v>
      </c>
      <c r="AA27" s="540">
        <v>5.9090909089999997</v>
      </c>
      <c r="AE27" s="532" t="s">
        <v>201</v>
      </c>
      <c r="AF27" s="539">
        <v>359.54545450000001</v>
      </c>
      <c r="AG27" s="540">
        <v>0.4545454545</v>
      </c>
      <c r="AH27"/>
      <c r="AI27" s="237"/>
      <c r="AJ27" s="237"/>
      <c r="AK27" s="2"/>
    </row>
    <row r="28" spans="2:48" ht="15" customHeight="1" thickBot="1" x14ac:dyDescent="0.25">
      <c r="H28"/>
      <c r="O28" s="544">
        <v>3000</v>
      </c>
      <c r="P28" s="553">
        <f>IF($Q$10&lt;=11,AF11+AG11*$Q$10,IF($Q$10&lt;=22,AF12+AG12*$Q$10,IF($Q$10&lt;=33,AF13+AG13*$Q$10,IF($Q$10&lt;=45,AF14+AG14*$Q$10,AF15+AG15*$Q$10))))</f>
        <v>362.27272722499998</v>
      </c>
      <c r="Q28" s="1"/>
      <c r="R28" s="1"/>
      <c r="S28" s="1"/>
      <c r="T28" s="1"/>
      <c r="U28" s="1"/>
      <c r="Y28" s="405"/>
      <c r="Z28" s="237"/>
      <c r="AA28" s="237"/>
      <c r="AC28" s="80"/>
      <c r="AD28" s="80"/>
      <c r="AF28" s="237"/>
      <c r="AG28" s="237"/>
      <c r="AH28"/>
      <c r="AI28" s="2"/>
      <c r="AJ28" s="231"/>
      <c r="AK28" s="134" t="s">
        <v>172</v>
      </c>
      <c r="AL28" s="705" t="s">
        <v>173</v>
      </c>
      <c r="AM28" s="683" t="s">
        <v>329</v>
      </c>
    </row>
    <row r="29" spans="2:48" ht="15" customHeight="1" thickBot="1" x14ac:dyDescent="0.25">
      <c r="H29" s="228"/>
      <c r="O29" s="544">
        <v>5000</v>
      </c>
      <c r="P29" s="553">
        <f>IF($Q$10&lt;=11,AF17+AG17*$Q$10,IF($Q$10&lt;=22,AF18+AG18*$Q$10,IF($Q$10&lt;=33,AF19+AG19*$Q$10,IF($Q$10&lt;=45,AF20+AG20*$Q$10,AF21+AG21*$Q$10))))</f>
        <v>372.27272722499998</v>
      </c>
      <c r="Q29" s="1"/>
      <c r="R29" s="1"/>
      <c r="S29" s="1"/>
      <c r="T29" s="1"/>
      <c r="U29" s="1"/>
      <c r="AF29" s="16"/>
      <c r="AG29" s="21"/>
      <c r="AH29"/>
      <c r="AI29"/>
      <c r="AJ29" s="289">
        <v>0</v>
      </c>
      <c r="AK29" s="223">
        <v>328</v>
      </c>
      <c r="AL29" s="706">
        <v>4.4285714289999997E-3</v>
      </c>
      <c r="AM29" s="698">
        <f t="shared" ref="AM29:AM34" si="2">AK29+AL29*$AM$17</f>
        <v>328.22142857145002</v>
      </c>
    </row>
    <row r="30" spans="2:48" ht="15" customHeight="1" thickBot="1" x14ac:dyDescent="0.25">
      <c r="H30" s="228"/>
      <c r="I30" s="99"/>
      <c r="O30" s="544">
        <v>7000</v>
      </c>
      <c r="P30" s="535">
        <f>IF($Q$10&lt;=11,AF23+AG23*$Q$10,IF($Q$10&lt;=22,AF24+AG24*$Q$10,IF($Q$10&lt;=33,AF25+AG25*$Q$10,IF($Q$10&lt;=45,AF26+AG26*$Q$10,AF27+AG27*$Q$10))))</f>
        <v>382.27272722499998</v>
      </c>
      <c r="Q30" s="1"/>
      <c r="R30" s="1"/>
      <c r="S30" s="1" t="s">
        <v>4</v>
      </c>
      <c r="T30" s="1"/>
      <c r="U30" s="1"/>
      <c r="W30" s="237"/>
      <c r="X30" s="237"/>
      <c r="Y30" s="405"/>
      <c r="Z30" s="237"/>
      <c r="AA30" s="237"/>
      <c r="AB30" s="237"/>
      <c r="AC30" s="237"/>
      <c r="AD30" s="237"/>
      <c r="AE30" s="237"/>
      <c r="AF30" s="237"/>
      <c r="AG30" s="237"/>
      <c r="AH30" s="237"/>
      <c r="AI30"/>
      <c r="AJ30" s="289">
        <v>11</v>
      </c>
      <c r="AK30" s="223">
        <v>332</v>
      </c>
      <c r="AL30" s="706">
        <v>4.5714285709999997E-3</v>
      </c>
      <c r="AM30" s="698">
        <f t="shared" si="2"/>
        <v>332.22857142855003</v>
      </c>
    </row>
    <row r="31" spans="2:48" ht="15" customHeight="1" x14ac:dyDescent="0.2">
      <c r="H31" s="228"/>
      <c r="I31" s="1" t="s">
        <v>4</v>
      </c>
      <c r="P31" s="1"/>
      <c r="Q31" s="1"/>
      <c r="R31" s="1"/>
      <c r="S31" s="1"/>
      <c r="T31" s="1"/>
      <c r="U31" s="1"/>
      <c r="Y31" s="405"/>
      <c r="Z31" s="237"/>
      <c r="AA31" s="237"/>
      <c r="AC31" s="237"/>
      <c r="AD31" s="237"/>
      <c r="AF31" s="237"/>
      <c r="AG31" s="237"/>
      <c r="AH31"/>
      <c r="AI31" s="237"/>
      <c r="AJ31" s="212">
        <v>22</v>
      </c>
      <c r="AK31" s="17">
        <v>337</v>
      </c>
      <c r="AL31" s="177">
        <v>4.7142857140000001E-3</v>
      </c>
      <c r="AM31" s="698">
        <f t="shared" si="2"/>
        <v>337.2357142857</v>
      </c>
    </row>
    <row r="32" spans="2:48" ht="15" customHeight="1" x14ac:dyDescent="0.2">
      <c r="O32" s="1" t="s">
        <v>108</v>
      </c>
      <c r="P32" s="1"/>
      <c r="Q32" s="1"/>
      <c r="R32" s="1"/>
      <c r="S32" s="1"/>
      <c r="T32" s="1"/>
      <c r="U32" s="1"/>
      <c r="V32" s="1"/>
      <c r="Y32" s="405"/>
      <c r="Z32" s="237"/>
      <c r="AA32" s="237"/>
      <c r="AC32" s="237"/>
      <c r="AD32" s="237"/>
      <c r="AF32" s="237"/>
      <c r="AG32" s="237"/>
      <c r="AH32"/>
      <c r="AI32" s="237"/>
      <c r="AJ32" s="289">
        <v>33</v>
      </c>
      <c r="AK32" s="223">
        <v>341</v>
      </c>
      <c r="AL32" s="706">
        <v>4.8571428569999997E-3</v>
      </c>
      <c r="AM32" s="698">
        <f t="shared" si="2"/>
        <v>341.24285714285003</v>
      </c>
    </row>
    <row r="33" spans="15:39" ht="15" customHeight="1" x14ac:dyDescent="0.2">
      <c r="O33" s="83" t="s">
        <v>109</v>
      </c>
      <c r="P33" s="17">
        <f>H6</f>
        <v>255</v>
      </c>
      <c r="Q33" s="2"/>
      <c r="R33" s="17">
        <f>RADIANS(P33)</f>
        <v>4.4505895925855405</v>
      </c>
      <c r="S33" s="2"/>
      <c r="T33" s="2" t="s">
        <v>111</v>
      </c>
      <c r="U33" s="17">
        <f>RADIANS(270)-R33</f>
        <v>0.26179938779914913</v>
      </c>
      <c r="V33" s="2"/>
      <c r="W33" s="2" t="s">
        <v>113</v>
      </c>
      <c r="X33" s="17">
        <f>P34*(COS(U33)*COS(U35)+SIN(U33)*SIN(U35))</f>
        <v>-4.3301270189221954</v>
      </c>
      <c r="Y33" s="405"/>
      <c r="Z33" s="237"/>
      <c r="AA33" s="237"/>
      <c r="AC33" s="237"/>
      <c r="AD33" s="237"/>
      <c r="AF33" s="237"/>
      <c r="AG33" s="237"/>
      <c r="AH33"/>
      <c r="AI33" s="237"/>
      <c r="AJ33" s="212">
        <v>45</v>
      </c>
      <c r="AK33" s="17">
        <v>345</v>
      </c>
      <c r="AL33" s="165">
        <v>5.0000000000000001E-3</v>
      </c>
      <c r="AM33" s="698">
        <f t="shared" si="2"/>
        <v>345.25</v>
      </c>
    </row>
    <row r="34" spans="15:39" ht="15" customHeight="1" thickBot="1" x14ac:dyDescent="0.25">
      <c r="O34" s="83" t="s">
        <v>110</v>
      </c>
      <c r="P34" s="17">
        <f>H7</f>
        <v>5</v>
      </c>
      <c r="Q34" s="2"/>
      <c r="R34" s="2"/>
      <c r="S34" s="2"/>
      <c r="T34" s="2"/>
      <c r="U34" s="2"/>
      <c r="V34" s="2"/>
      <c r="W34" s="2"/>
      <c r="X34" s="2"/>
      <c r="AH34" s="2"/>
      <c r="AI34" s="2"/>
      <c r="AJ34" s="143">
        <v>56</v>
      </c>
      <c r="AK34" s="144">
        <v>350</v>
      </c>
      <c r="AL34" s="167">
        <v>5.0000000000000001E-3</v>
      </c>
      <c r="AM34" s="699">
        <f t="shared" si="2"/>
        <v>350.25</v>
      </c>
    </row>
    <row r="35" spans="15:39" ht="15" customHeight="1" x14ac:dyDescent="0.2">
      <c r="O35" s="83" t="s">
        <v>70</v>
      </c>
      <c r="P35" s="17">
        <f>H5</f>
        <v>285</v>
      </c>
      <c r="Q35" s="2"/>
      <c r="R35" s="17">
        <f>RADIANS(P35)</f>
        <v>4.9741883681838388</v>
      </c>
      <c r="S35" s="2"/>
      <c r="T35" s="2" t="s">
        <v>112</v>
      </c>
      <c r="U35" s="17">
        <f>RADIANS(90)-R35</f>
        <v>-3.4033920413889422</v>
      </c>
      <c r="V35" s="2"/>
      <c r="W35" s="2" t="s">
        <v>114</v>
      </c>
      <c r="X35" s="554">
        <f>P34*(SIN(U33)*COS(U35)-COS(U33)*SIN(U35))</f>
        <v>-2.4999999999999964</v>
      </c>
    </row>
    <row r="36" spans="15:39" ht="15" customHeight="1" x14ac:dyDescent="0.2">
      <c r="AH36" s="163"/>
      <c r="AI36" s="163"/>
      <c r="AJ36" s="163"/>
      <c r="AK36" s="163"/>
    </row>
    <row r="37" spans="15:39" ht="15" customHeight="1" x14ac:dyDescent="0.2">
      <c r="O37" s="2"/>
      <c r="W37" s="1" t="s">
        <v>4</v>
      </c>
      <c r="AH37" s="5"/>
      <c r="AI37" s="5"/>
      <c r="AJ37" s="5"/>
      <c r="AK37" s="5"/>
    </row>
    <row r="38" spans="15:39" ht="15" customHeight="1" x14ac:dyDescent="0.2">
      <c r="O38"/>
      <c r="AH38"/>
      <c r="AI38"/>
      <c r="AJ38"/>
      <c r="AK38"/>
    </row>
    <row r="39" spans="15:39" ht="15" customHeight="1" x14ac:dyDescent="0.2">
      <c r="O39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5:39" ht="15" customHeight="1" x14ac:dyDescent="0.2">
      <c r="O40"/>
      <c r="Y40" s="4"/>
      <c r="Z40" s="4"/>
      <c r="AA40" s="4"/>
      <c r="AB40" s="4"/>
      <c r="AC40" s="2"/>
      <c r="AD40" s="2"/>
      <c r="AE40" s="4"/>
      <c r="AF40" s="4"/>
      <c r="AG40" s="4"/>
      <c r="AH40" s="4"/>
      <c r="AI40" s="2"/>
      <c r="AJ40" s="2"/>
    </row>
    <row r="41" spans="15:39" ht="15" customHeight="1" x14ac:dyDescent="0.2">
      <c r="O41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5"/>
      <c r="AL41" s="5"/>
      <c r="AM41" s="5"/>
    </row>
    <row r="42" spans="15:39" ht="15" customHeight="1" x14ac:dyDescent="0.2">
      <c r="Y42" s="4"/>
      <c r="Z42" s="4"/>
      <c r="AA42" s="2"/>
      <c r="AB42" s="2"/>
      <c r="AC42" s="2"/>
      <c r="AD42" s="2"/>
      <c r="AE42" s="4"/>
      <c r="AF42" s="4"/>
      <c r="AG42" s="2"/>
      <c r="AH42" s="2"/>
      <c r="AI42" s="2"/>
      <c r="AJ42" s="2"/>
    </row>
    <row r="43" spans="15:39" ht="15" customHeight="1" x14ac:dyDescent="0.2"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L43" s="268"/>
    </row>
    <row r="44" spans="15:39" ht="15" customHeight="1" x14ac:dyDescent="0.2"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L44" s="43"/>
    </row>
    <row r="45" spans="15:39" ht="15" customHeight="1" x14ac:dyDescent="0.2">
      <c r="AH45" s="5"/>
      <c r="AJ45" s="43"/>
      <c r="AL45" s="268"/>
    </row>
    <row r="46" spans="15:39" ht="15" customHeight="1" x14ac:dyDescent="0.2">
      <c r="O46" s="1" t="s">
        <v>4</v>
      </c>
      <c r="AG46" s="1" t="s">
        <v>4</v>
      </c>
    </row>
    <row r="47" spans="15:39" ht="15" customHeight="1" x14ac:dyDescent="0.2">
      <c r="O47"/>
      <c r="AH47" s="5"/>
      <c r="AI47" s="5"/>
      <c r="AJ47" s="5"/>
      <c r="AK47" s="5"/>
    </row>
    <row r="48" spans="15:39" ht="15" customHeight="1" x14ac:dyDescent="0.2">
      <c r="O48"/>
      <c r="AH48" s="5"/>
      <c r="AI48" s="5"/>
      <c r="AJ48" s="5"/>
      <c r="AK48" s="5"/>
    </row>
    <row r="49" spans="15:37" ht="15" customHeight="1" x14ac:dyDescent="0.2">
      <c r="O49" s="21"/>
      <c r="AH49"/>
      <c r="AI49"/>
      <c r="AJ49"/>
      <c r="AK49"/>
    </row>
    <row r="50" spans="15:37" ht="15" customHeight="1" x14ac:dyDescent="0.2">
      <c r="O50"/>
      <c r="AC50" s="1" t="s">
        <v>4</v>
      </c>
    </row>
    <row r="51" spans="15:37" ht="15" customHeight="1" x14ac:dyDescent="0.2">
      <c r="O51"/>
    </row>
    <row r="52" spans="15:37" ht="15" customHeight="1" x14ac:dyDescent="0.2">
      <c r="O52"/>
      <c r="AH52" s="5"/>
      <c r="AI52" s="5"/>
    </row>
    <row r="53" spans="15:37" ht="15" customHeight="1" thickBot="1" x14ac:dyDescent="0.25">
      <c r="O53"/>
      <c r="AA53" s="1" t="s">
        <v>40</v>
      </c>
      <c r="AD53" s="1" t="s">
        <v>41</v>
      </c>
      <c r="AG53" s="1" t="s">
        <v>185</v>
      </c>
      <c r="AH53"/>
      <c r="AI53" s="4"/>
      <c r="AJ53" s="4" t="s">
        <v>186</v>
      </c>
      <c r="AK53" s="4"/>
    </row>
    <row r="54" spans="15:37" ht="15" customHeight="1" x14ac:dyDescent="0.2">
      <c r="O54" s="36"/>
      <c r="W54" s="2"/>
      <c r="X54" s="2"/>
      <c r="Y54" s="460" t="s">
        <v>27</v>
      </c>
      <c r="Z54" s="237"/>
      <c r="AA54" s="423">
        <v>185</v>
      </c>
      <c r="AB54" s="238">
        <v>5.0000000000000001E-3</v>
      </c>
      <c r="AC54" s="2"/>
      <c r="AD54" s="412">
        <v>280</v>
      </c>
      <c r="AE54" s="413">
        <v>7.4999999999999997E-3</v>
      </c>
      <c r="AG54" s="423">
        <v>435</v>
      </c>
      <c r="AH54" s="238">
        <v>0.01</v>
      </c>
      <c r="AI54"/>
      <c r="AJ54" s="412">
        <v>530</v>
      </c>
      <c r="AK54" s="413">
        <v>1.2500000000000001E-2</v>
      </c>
    </row>
    <row r="55" spans="15:37" ht="15" customHeight="1" x14ac:dyDescent="0.2">
      <c r="O55" s="37"/>
      <c r="W55" s="839" t="s">
        <v>187</v>
      </c>
      <c r="X55" s="956"/>
      <c r="Y55" s="461" t="s">
        <v>14</v>
      </c>
      <c r="Z55" s="237"/>
      <c r="AA55" s="424">
        <v>200</v>
      </c>
      <c r="AB55" s="408">
        <v>6.2500000000000003E-3</v>
      </c>
      <c r="AD55" s="414">
        <v>300</v>
      </c>
      <c r="AE55" s="415">
        <v>8.7500000000000008E-3</v>
      </c>
      <c r="AG55" s="424">
        <v>460</v>
      </c>
      <c r="AH55" s="408">
        <v>1.125E-2</v>
      </c>
      <c r="AI55"/>
      <c r="AJ55" s="414">
        <v>560</v>
      </c>
      <c r="AK55" s="415">
        <v>1.375E-2</v>
      </c>
    </row>
    <row r="56" spans="15:37" ht="15" customHeight="1" thickBot="1" x14ac:dyDescent="0.25">
      <c r="O56" s="36"/>
      <c r="Y56" s="462" t="s">
        <v>28</v>
      </c>
      <c r="Z56" s="237"/>
      <c r="AA56" s="425">
        <v>210</v>
      </c>
      <c r="AB56" s="411">
        <v>7.4999999999999997E-3</v>
      </c>
      <c r="AD56" s="416">
        <v>325</v>
      </c>
      <c r="AE56" s="417">
        <v>8.7500000000000008E-3</v>
      </c>
      <c r="AG56" s="425">
        <v>485</v>
      </c>
      <c r="AH56" s="411">
        <v>1.2500000000000001E-2</v>
      </c>
      <c r="AI56"/>
      <c r="AJ56" s="426">
        <v>590</v>
      </c>
      <c r="AK56" s="427">
        <v>1.6250000000000001E-2</v>
      </c>
    </row>
    <row r="57" spans="15:37" ht="15" customHeight="1" x14ac:dyDescent="0.2">
      <c r="O57" s="2"/>
      <c r="AG57" s="16"/>
      <c r="AH57" s="21"/>
      <c r="AI57"/>
      <c r="AJ57"/>
      <c r="AK57"/>
    </row>
    <row r="58" spans="15:37" ht="15" customHeight="1" thickBot="1" x14ac:dyDescent="0.25">
      <c r="O58" s="2"/>
      <c r="W58" s="237"/>
      <c r="X58" s="237"/>
      <c r="Y58" s="405"/>
      <c r="Z58" s="237"/>
      <c r="AA58" s="237" t="s">
        <v>40</v>
      </c>
      <c r="AB58" s="237"/>
      <c r="AC58" s="237"/>
      <c r="AD58" s="237" t="s">
        <v>41</v>
      </c>
      <c r="AE58" s="237"/>
      <c r="AF58" s="237"/>
      <c r="AG58" s="237" t="s">
        <v>186</v>
      </c>
      <c r="AH58" s="237"/>
      <c r="AI58" s="237"/>
      <c r="AJ58" t="s">
        <v>186</v>
      </c>
      <c r="AK58"/>
    </row>
    <row r="59" spans="15:37" ht="15" customHeight="1" x14ac:dyDescent="0.2">
      <c r="O59" s="2"/>
      <c r="Y59" s="463" t="s">
        <v>27</v>
      </c>
      <c r="Z59" s="237"/>
      <c r="AA59" s="423">
        <v>175</v>
      </c>
      <c r="AB59" s="238">
        <v>7.4999999999999997E-3</v>
      </c>
      <c r="AD59" s="412">
        <v>270</v>
      </c>
      <c r="AE59" s="413">
        <v>0.01</v>
      </c>
      <c r="AG59" s="423">
        <v>425</v>
      </c>
      <c r="AH59" s="238">
        <v>1.2500000000000001E-2</v>
      </c>
      <c r="AI59"/>
      <c r="AJ59" s="412">
        <v>520</v>
      </c>
      <c r="AK59" s="413">
        <v>1.4999999999999999E-2</v>
      </c>
    </row>
    <row r="60" spans="15:37" ht="15" customHeight="1" x14ac:dyDescent="0.2">
      <c r="O60" s="2"/>
      <c r="W60" s="955" t="s">
        <v>188</v>
      </c>
      <c r="X60" s="955"/>
      <c r="Y60" s="464" t="s">
        <v>14</v>
      </c>
      <c r="Z60" s="237"/>
      <c r="AA60" s="424">
        <v>200</v>
      </c>
      <c r="AB60" s="408">
        <v>6.2500000000000003E-3</v>
      </c>
      <c r="AD60" s="414">
        <v>295</v>
      </c>
      <c r="AE60" s="415">
        <v>0.01</v>
      </c>
      <c r="AG60" s="424">
        <v>455</v>
      </c>
      <c r="AH60" s="408">
        <v>1.2500000000000001E-2</v>
      </c>
      <c r="AI60"/>
      <c r="AJ60" s="414">
        <v>550</v>
      </c>
      <c r="AK60" s="415">
        <v>1.6250000000000001E-2</v>
      </c>
    </row>
    <row r="61" spans="15:37" ht="15" customHeight="1" thickBot="1" x14ac:dyDescent="0.25">
      <c r="O61" s="2"/>
      <c r="W61" s="237"/>
      <c r="X61" s="237"/>
      <c r="Y61" s="465" t="s">
        <v>28</v>
      </c>
      <c r="Z61" s="237"/>
      <c r="AA61" s="425">
        <v>210</v>
      </c>
      <c r="AB61" s="411">
        <v>7.4999999999999997E-3</v>
      </c>
      <c r="AD61" s="397">
        <v>315</v>
      </c>
      <c r="AE61" s="422">
        <v>1.125E-2</v>
      </c>
      <c r="AG61" s="425">
        <v>480</v>
      </c>
      <c r="AH61" s="411">
        <v>1.375E-2</v>
      </c>
      <c r="AI61"/>
      <c r="AJ61" s="421">
        <v>585</v>
      </c>
      <c r="AK61" s="422">
        <v>1.7500000000000002E-2</v>
      </c>
    </row>
    <row r="62" spans="15:37" ht="15" customHeight="1" x14ac:dyDescent="0.2">
      <c r="O62" s="2"/>
    </row>
    <row r="64" spans="15:37" ht="15" customHeight="1" x14ac:dyDescent="0.2">
      <c r="O64" s="2"/>
      <c r="W64" s="1" t="s">
        <v>4</v>
      </c>
    </row>
    <row r="70" spans="15:37" ht="15" customHeight="1" x14ac:dyDescent="0.2">
      <c r="O70" s="16"/>
    </row>
    <row r="74" spans="15:37" ht="15" customHeight="1" thickBot="1" x14ac:dyDescent="0.25">
      <c r="AA74" s="1" t="s">
        <v>40</v>
      </c>
      <c r="AD74" s="1" t="s">
        <v>41</v>
      </c>
      <c r="AG74" s="1" t="s">
        <v>185</v>
      </c>
      <c r="AH74"/>
      <c r="AI74" s="4"/>
      <c r="AJ74" s="4" t="s">
        <v>186</v>
      </c>
      <c r="AK74" s="4"/>
    </row>
    <row r="75" spans="15:37" ht="15" customHeight="1" x14ac:dyDescent="0.2">
      <c r="O75" s="2"/>
      <c r="W75" s="2"/>
      <c r="X75" s="2"/>
      <c r="Y75" s="460" t="s">
        <v>27</v>
      </c>
      <c r="Z75" s="237"/>
      <c r="AA75" s="423">
        <v>145</v>
      </c>
      <c r="AB75" s="238">
        <v>3.7499999999999999E-3</v>
      </c>
      <c r="AC75" s="2"/>
      <c r="AD75" s="412">
        <v>215</v>
      </c>
      <c r="AE75" s="413">
        <v>6.2500000000000003E-3</v>
      </c>
      <c r="AG75" s="423">
        <v>365</v>
      </c>
      <c r="AH75" s="238">
        <v>7.4999999999999997E-3</v>
      </c>
      <c r="AI75"/>
      <c r="AJ75" s="412">
        <v>435</v>
      </c>
      <c r="AK75" s="413">
        <v>0.01</v>
      </c>
    </row>
    <row r="76" spans="15:37" ht="15" customHeight="1" x14ac:dyDescent="0.2">
      <c r="O76" s="2"/>
      <c r="W76" s="839" t="s">
        <v>187</v>
      </c>
      <c r="X76" s="956"/>
      <c r="Y76" s="461" t="s">
        <v>14</v>
      </c>
      <c r="Z76" s="237"/>
      <c r="AA76" s="424">
        <v>155</v>
      </c>
      <c r="AB76" s="408">
        <v>5.0000000000000001E-3</v>
      </c>
      <c r="AD76" s="414">
        <v>230</v>
      </c>
      <c r="AE76" s="415">
        <v>7.4999999999999997E-3</v>
      </c>
      <c r="AG76" s="424">
        <v>385</v>
      </c>
      <c r="AH76" s="408">
        <v>8.7500000000000008E-3</v>
      </c>
      <c r="AI76"/>
      <c r="AJ76" s="414">
        <v>460</v>
      </c>
      <c r="AK76" s="415">
        <v>1.125E-2</v>
      </c>
    </row>
    <row r="77" spans="15:37" ht="15" customHeight="1" thickBot="1" x14ac:dyDescent="0.25">
      <c r="O77" s="2"/>
      <c r="Y77" s="462" t="s">
        <v>28</v>
      </c>
      <c r="Z77" s="237"/>
      <c r="AA77" s="425">
        <v>165</v>
      </c>
      <c r="AB77" s="411">
        <v>5.0000000000000001E-3</v>
      </c>
      <c r="AD77" s="416">
        <v>250</v>
      </c>
      <c r="AE77" s="417">
        <v>8.7500000000000008E-3</v>
      </c>
      <c r="AG77" s="425">
        <v>400</v>
      </c>
      <c r="AH77" s="411">
        <v>0.01</v>
      </c>
      <c r="AI77"/>
      <c r="AJ77" s="426">
        <v>485</v>
      </c>
      <c r="AK77" s="427">
        <v>1.125E-2</v>
      </c>
    </row>
    <row r="78" spans="15:37" ht="15" customHeight="1" x14ac:dyDescent="0.2">
      <c r="O78" s="2"/>
      <c r="AG78" s="16"/>
      <c r="AH78" s="21"/>
      <c r="AI78"/>
      <c r="AJ78"/>
      <c r="AK78"/>
    </row>
    <row r="79" spans="15:37" ht="15" customHeight="1" thickBot="1" x14ac:dyDescent="0.25">
      <c r="O79" s="2"/>
      <c r="W79" s="237"/>
      <c r="X79" s="237"/>
      <c r="Y79" s="405"/>
      <c r="Z79" s="237"/>
      <c r="AA79" s="237" t="s">
        <v>40</v>
      </c>
      <c r="AB79" s="237"/>
      <c r="AC79" s="237"/>
      <c r="AD79" s="237" t="s">
        <v>41</v>
      </c>
      <c r="AE79" s="237"/>
      <c r="AF79" s="237"/>
      <c r="AG79" s="237" t="s">
        <v>186</v>
      </c>
      <c r="AH79" s="237"/>
      <c r="AI79" s="237"/>
      <c r="AJ79" t="s">
        <v>186</v>
      </c>
      <c r="AK79"/>
    </row>
    <row r="80" spans="15:37" ht="15" customHeight="1" x14ac:dyDescent="0.2">
      <c r="O80" s="2"/>
      <c r="Y80" s="463" t="s">
        <v>27</v>
      </c>
      <c r="Z80" s="237"/>
      <c r="AA80" s="423">
        <v>140</v>
      </c>
      <c r="AB80" s="238">
        <v>5.0000000000000001E-3</v>
      </c>
      <c r="AD80" s="412">
        <v>205</v>
      </c>
      <c r="AE80" s="413">
        <v>8.7500000000000008E-3</v>
      </c>
      <c r="AG80" s="423">
        <v>360</v>
      </c>
      <c r="AH80" s="238">
        <v>8.7500000000000008E-3</v>
      </c>
      <c r="AI80"/>
      <c r="AJ80" s="412">
        <v>425</v>
      </c>
      <c r="AK80" s="413">
        <v>1.2500000000000001E-2</v>
      </c>
    </row>
    <row r="81" spans="15:37" ht="15" customHeight="1" x14ac:dyDescent="0.2">
      <c r="O81" s="2"/>
      <c r="W81" s="955" t="s">
        <v>188</v>
      </c>
      <c r="X81" s="955"/>
      <c r="Y81" s="464" t="s">
        <v>14</v>
      </c>
      <c r="Z81" s="237"/>
      <c r="AA81" s="424">
        <v>155</v>
      </c>
      <c r="AB81" s="408">
        <v>5.0000000000000001E-3</v>
      </c>
      <c r="AD81" s="414">
        <v>230</v>
      </c>
      <c r="AE81" s="415">
        <v>7.4999999999999997E-3</v>
      </c>
      <c r="AG81" s="424">
        <v>380</v>
      </c>
      <c r="AH81" s="408">
        <v>0.01</v>
      </c>
      <c r="AI81"/>
      <c r="AJ81" s="414">
        <v>495</v>
      </c>
      <c r="AK81" s="415">
        <v>1.2500000000000001E-2</v>
      </c>
    </row>
    <row r="82" spans="15:37" ht="15" customHeight="1" thickBot="1" x14ac:dyDescent="0.25">
      <c r="O82" s="2"/>
      <c r="W82" s="237"/>
      <c r="X82" s="237"/>
      <c r="Y82" s="465" t="s">
        <v>28</v>
      </c>
      <c r="Z82" s="237"/>
      <c r="AA82" s="425">
        <v>160</v>
      </c>
      <c r="AB82" s="411">
        <v>6.2500000000000003E-3</v>
      </c>
      <c r="AD82" s="397">
        <v>255</v>
      </c>
      <c r="AE82" s="422">
        <v>7.4999999999999997E-3</v>
      </c>
      <c r="AG82" s="425">
        <v>395</v>
      </c>
      <c r="AH82" s="411">
        <v>1.125E-2</v>
      </c>
      <c r="AI82"/>
      <c r="AJ82" s="421">
        <v>470</v>
      </c>
      <c r="AK82" s="422">
        <v>1.4999999999999999E-2</v>
      </c>
    </row>
    <row r="83" spans="15:37" ht="15" customHeight="1" x14ac:dyDescent="0.2">
      <c r="O83"/>
    </row>
    <row r="84" spans="15:37" ht="15" customHeight="1" x14ac:dyDescent="0.2">
      <c r="O84"/>
    </row>
    <row r="85" spans="15:37" ht="15" customHeight="1" x14ac:dyDescent="0.2">
      <c r="O85"/>
    </row>
    <row r="86" spans="15:37" ht="15" customHeight="1" x14ac:dyDescent="0.2">
      <c r="O86"/>
    </row>
    <row r="87" spans="15:37" ht="15" customHeight="1" x14ac:dyDescent="0.2">
      <c r="O87"/>
    </row>
    <row r="88" spans="15:37" ht="15" customHeight="1" x14ac:dyDescent="0.2">
      <c r="O88"/>
    </row>
    <row r="89" spans="15:37" ht="15" customHeight="1" x14ac:dyDescent="0.2">
      <c r="O89"/>
    </row>
    <row r="90" spans="15:37" ht="15" customHeight="1" x14ac:dyDescent="0.2">
      <c r="O90"/>
    </row>
    <row r="91" spans="15:37" ht="15" customHeight="1" x14ac:dyDescent="0.2">
      <c r="O91"/>
    </row>
    <row r="92" spans="15:37" ht="79.5" customHeight="1" x14ac:dyDescent="0.2">
      <c r="O92"/>
    </row>
    <row r="93" spans="15:37" ht="15" customHeight="1" x14ac:dyDescent="0.2">
      <c r="O93"/>
    </row>
    <row r="94" spans="15:37" ht="15" customHeight="1" x14ac:dyDescent="0.2">
      <c r="O94"/>
    </row>
    <row r="95" spans="15:37" ht="15" customHeight="1" x14ac:dyDescent="0.2">
      <c r="O95" s="1" t="s">
        <v>108</v>
      </c>
      <c r="P95" s="1"/>
      <c r="Q95" s="1"/>
      <c r="R95" s="1"/>
      <c r="S95" s="1"/>
      <c r="T95" s="1"/>
      <c r="U95" s="1"/>
      <c r="V95" s="1"/>
    </row>
    <row r="96" spans="15:37" ht="15" customHeight="1" x14ac:dyDescent="0.2">
      <c r="O96" s="83" t="s">
        <v>109</v>
      </c>
      <c r="P96" s="3">
        <f>H6</f>
        <v>255</v>
      </c>
      <c r="Q96" s="1"/>
      <c r="R96" s="3">
        <f>RADIANS(P96)</f>
        <v>4.4505895925855405</v>
      </c>
      <c r="S96" s="1"/>
      <c r="T96" s="1" t="s">
        <v>111</v>
      </c>
      <c r="U96" s="3">
        <f>RADIANS(270)-R96</f>
        <v>0.26179938779914913</v>
      </c>
      <c r="V96" s="1"/>
      <c r="W96" s="1" t="s">
        <v>113</v>
      </c>
      <c r="X96" s="3">
        <f>P97*(COS(U96)*COS(U98)+SIN(U96)*SIN(U98))</f>
        <v>-4.3301270189221954</v>
      </c>
    </row>
    <row r="97" spans="15:24" ht="15" customHeight="1" x14ac:dyDescent="0.2">
      <c r="O97" s="83" t="s">
        <v>110</v>
      </c>
      <c r="P97" s="3">
        <f>H7</f>
        <v>5</v>
      </c>
      <c r="Q97" s="1"/>
      <c r="R97" s="1"/>
      <c r="S97" s="1"/>
      <c r="T97" s="1"/>
      <c r="U97" s="1"/>
      <c r="V97" s="1"/>
    </row>
    <row r="98" spans="15:24" ht="15" customHeight="1" x14ac:dyDescent="0.2">
      <c r="O98" s="83" t="s">
        <v>70</v>
      </c>
      <c r="P98" s="3">
        <f>H5</f>
        <v>285</v>
      </c>
      <c r="Q98" s="1"/>
      <c r="R98" s="3">
        <f>RADIANS(P98)</f>
        <v>4.9741883681838388</v>
      </c>
      <c r="S98" s="1"/>
      <c r="T98" s="1" t="s">
        <v>112</v>
      </c>
      <c r="U98" s="3">
        <f>RADIANS(90)-R98</f>
        <v>-3.4033920413889422</v>
      </c>
      <c r="V98" s="1"/>
      <c r="W98" s="1" t="s">
        <v>114</v>
      </c>
      <c r="X98" s="84">
        <f>P97*(SIN(U96)*COS(U98)-COS(U96)*SIN(U98))</f>
        <v>-2.4999999999999964</v>
      </c>
    </row>
  </sheetData>
  <mergeCells count="24">
    <mergeCell ref="W60:X60"/>
    <mergeCell ref="AT20:AU20"/>
    <mergeCell ref="W81:X81"/>
    <mergeCell ref="W6:X6"/>
    <mergeCell ref="W11:X11"/>
    <mergeCell ref="W17:X17"/>
    <mergeCell ref="W23:X23"/>
    <mergeCell ref="AC6:AD6"/>
    <mergeCell ref="AC11:AD11"/>
    <mergeCell ref="AC17:AD17"/>
    <mergeCell ref="W76:X76"/>
    <mergeCell ref="B1:D1"/>
    <mergeCell ref="K3:L3"/>
    <mergeCell ref="G3:H3"/>
    <mergeCell ref="F1:M1"/>
    <mergeCell ref="W55:X55"/>
    <mergeCell ref="AR2:AS2"/>
    <mergeCell ref="B25:D25"/>
    <mergeCell ref="F19:M19"/>
    <mergeCell ref="O18:P18"/>
    <mergeCell ref="K7:L7"/>
    <mergeCell ref="K9:L9"/>
    <mergeCell ref="F15:M15"/>
    <mergeCell ref="AC23:AD23"/>
  </mergeCells>
  <phoneticPr fontId="0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209E-2D7E-4882-82B6-290F75C8B009}">
  <dimension ref="B1:AX98"/>
  <sheetViews>
    <sheetView workbookViewId="0">
      <selection activeCell="AZ17" sqref="AZ17"/>
    </sheetView>
  </sheetViews>
  <sheetFormatPr baseColWidth="10" defaultColWidth="10.7109375" defaultRowHeight="12.75" outlineLevelCol="1" x14ac:dyDescent="0.2"/>
  <cols>
    <col min="1" max="1" width="4.7109375" style="1" customWidth="1"/>
    <col min="2" max="4" width="11.42578125" style="1" customWidth="1"/>
    <col min="5" max="5" width="4.7109375" style="1" customWidth="1"/>
    <col min="6" max="6" width="15.7109375" style="1" customWidth="1"/>
    <col min="7" max="7" width="14.42578125" style="1" customWidth="1"/>
    <col min="8" max="8" width="13.140625" style="1" customWidth="1"/>
    <col min="9" max="9" width="14.140625" style="1" customWidth="1"/>
    <col min="10" max="10" width="16.42578125" style="1" bestFit="1" customWidth="1"/>
    <col min="11" max="11" width="5.7109375" style="1" customWidth="1"/>
    <col min="12" max="12" width="5.7109375" style="1" customWidth="1" outlineLevel="1"/>
    <col min="13" max="14" width="4.7109375" style="1" customWidth="1" outlineLevel="1"/>
    <col min="15" max="15" width="7.7109375" style="1" hidden="1" customWidth="1" outlineLevel="1"/>
    <col min="16" max="22" width="7.7109375" hidden="1" customWidth="1" outlineLevel="1"/>
    <col min="23" max="24" width="5.7109375" style="1" hidden="1" customWidth="1"/>
    <col min="25" max="25" width="9.28515625" style="1" hidden="1" customWidth="1"/>
    <col min="26" max="27" width="12.7109375" style="1" hidden="1" customWidth="1"/>
    <col min="28" max="30" width="5.7109375" style="1" hidden="1" customWidth="1"/>
    <col min="31" max="31" width="9.28515625" style="1" hidden="1" customWidth="1"/>
    <col min="32" max="32" width="12.7109375" style="1" hidden="1" customWidth="1"/>
    <col min="33" max="33" width="15" style="1" hidden="1" customWidth="1"/>
    <col min="34" max="34" width="5.7109375" style="1" hidden="1" customWidth="1"/>
    <col min="35" max="35" width="8.7109375" style="1" hidden="1" customWidth="1"/>
    <col min="36" max="36" width="9.42578125" style="1" hidden="1" customWidth="1"/>
    <col min="37" max="37" width="8.7109375" style="1" hidden="1" customWidth="1"/>
    <col min="38" max="38" width="12" style="1" hidden="1" customWidth="1"/>
    <col min="39" max="39" width="8.7109375" style="1" hidden="1" customWidth="1"/>
    <col min="40" max="40" width="3.28515625" style="1" hidden="1" customWidth="1"/>
    <col min="41" max="43" width="8.7109375" style="1" hidden="1" customWidth="1"/>
    <col min="44" max="44" width="11.85546875" style="1" hidden="1" customWidth="1"/>
    <col min="45" max="45" width="9.85546875" style="1" hidden="1" customWidth="1"/>
    <col min="46" max="49" width="10.7109375" style="1" hidden="1" customWidth="1"/>
    <col min="50" max="50" width="10.7109375" style="1" customWidth="1"/>
    <col min="51" max="16384" width="10.7109375" style="1"/>
  </cols>
  <sheetData>
    <row r="1" spans="2:50" ht="24.95" customHeight="1" thickTop="1" thickBot="1" x14ac:dyDescent="0.25">
      <c r="B1" s="905" t="s">
        <v>80</v>
      </c>
      <c r="C1" s="906"/>
      <c r="D1" s="907"/>
      <c r="F1" s="905" t="s">
        <v>94</v>
      </c>
      <c r="G1" s="906"/>
      <c r="H1" s="906"/>
      <c r="I1" s="906"/>
      <c r="J1" s="906"/>
      <c r="K1" s="906"/>
      <c r="L1" s="906"/>
      <c r="M1" s="907"/>
      <c r="O1" s="16" t="s">
        <v>196</v>
      </c>
      <c r="Q1" s="2">
        <v>450</v>
      </c>
    </row>
    <row r="2" spans="2:50" ht="15" customHeight="1" thickTop="1" thickBot="1" x14ac:dyDescent="0.25">
      <c r="B2" s="61" t="s">
        <v>81</v>
      </c>
      <c r="D2" s="34"/>
      <c r="F2" s="33"/>
      <c r="M2" s="34"/>
      <c r="O2" s="8"/>
      <c r="P2" t="s">
        <v>195</v>
      </c>
      <c r="AG2"/>
      <c r="AH2"/>
      <c r="AI2"/>
      <c r="AJ2" t="s">
        <v>181</v>
      </c>
      <c r="AK2"/>
      <c r="AL2"/>
      <c r="AM2"/>
      <c r="AN2"/>
      <c r="AR2" s="839" t="s">
        <v>287</v>
      </c>
      <c r="AS2" s="839"/>
    </row>
    <row r="3" spans="2:50" ht="15" customHeight="1" thickBot="1" x14ac:dyDescent="0.25">
      <c r="B3" s="395"/>
      <c r="C3" s="56" t="s">
        <v>355</v>
      </c>
      <c r="D3" s="34"/>
      <c r="F3" s="33"/>
      <c r="G3" s="914" t="s">
        <v>47</v>
      </c>
      <c r="H3" s="915"/>
      <c r="K3" s="908" t="s">
        <v>58</v>
      </c>
      <c r="L3" s="909"/>
      <c r="M3" s="34"/>
      <c r="O3" s="8" t="s">
        <v>0</v>
      </c>
      <c r="P3" s="700">
        <v>0</v>
      </c>
      <c r="Q3" s="693">
        <v>11</v>
      </c>
      <c r="R3" s="700">
        <v>22</v>
      </c>
      <c r="S3" s="693">
        <v>33</v>
      </c>
      <c r="T3" s="700">
        <v>45</v>
      </c>
      <c r="U3" s="694">
        <v>56</v>
      </c>
      <c r="Z3" s="1" t="s">
        <v>195</v>
      </c>
      <c r="AG3"/>
      <c r="AH3" s="4"/>
      <c r="AI3" s="4"/>
      <c r="AJ3" s="4"/>
      <c r="AK3" s="4"/>
      <c r="AL3" s="4"/>
      <c r="AM3" s="4"/>
      <c r="AN3" s="4"/>
      <c r="AO3" s="4"/>
    </row>
    <row r="4" spans="2:50" ht="15" customHeight="1" thickBot="1" x14ac:dyDescent="0.25">
      <c r="B4" s="33"/>
      <c r="D4" s="34"/>
      <c r="F4" s="33"/>
      <c r="M4" s="34"/>
      <c r="O4" s="8" t="s">
        <v>1</v>
      </c>
      <c r="AG4"/>
      <c r="AH4" s="4"/>
      <c r="AI4" s="4"/>
      <c r="AJ4" s="231"/>
      <c r="AK4" s="134" t="s">
        <v>172</v>
      </c>
      <c r="AL4" s="705" t="s">
        <v>173</v>
      </c>
      <c r="AM4" s="683" t="s">
        <v>329</v>
      </c>
      <c r="AN4" s="4"/>
      <c r="AO4" s="2"/>
      <c r="AS4" s="709" t="s">
        <v>302</v>
      </c>
      <c r="AT4" s="251" t="s">
        <v>337</v>
      </c>
      <c r="AU4" s="710" t="s">
        <v>334</v>
      </c>
    </row>
    <row r="5" spans="2:50" ht="15" customHeight="1" thickBot="1" x14ac:dyDescent="0.25">
      <c r="B5" s="62" t="s">
        <v>82</v>
      </c>
      <c r="C5" s="726">
        <v>461</v>
      </c>
      <c r="D5" s="44" t="s">
        <v>65</v>
      </c>
      <c r="F5" s="68" t="s">
        <v>75</v>
      </c>
      <c r="G5" s="5" t="s">
        <v>70</v>
      </c>
      <c r="H5" s="92">
        <v>285</v>
      </c>
      <c r="M5" s="34"/>
      <c r="O5" s="2">
        <v>0</v>
      </c>
      <c r="P5" s="658">
        <v>293</v>
      </c>
      <c r="Q5" s="683">
        <v>312</v>
      </c>
      <c r="R5" s="679">
        <v>332</v>
      </c>
      <c r="S5" s="683">
        <v>351</v>
      </c>
      <c r="T5" s="679">
        <v>372</v>
      </c>
      <c r="U5" s="683">
        <v>392</v>
      </c>
      <c r="W5" s="2"/>
      <c r="X5" s="2"/>
      <c r="Y5" s="530" t="s">
        <v>197</v>
      </c>
      <c r="Z5" s="254">
        <v>293</v>
      </c>
      <c r="AA5" s="238">
        <v>1.7272727269999999</v>
      </c>
      <c r="AB5" s="2"/>
      <c r="AC5" s="2"/>
      <c r="AD5" s="2"/>
      <c r="AE5" s="530" t="s">
        <v>197</v>
      </c>
      <c r="AF5" s="254">
        <v>328</v>
      </c>
      <c r="AG5" s="238">
        <v>0.36363636360000001</v>
      </c>
      <c r="AH5"/>
      <c r="AI5" s="237"/>
      <c r="AJ5" s="289">
        <v>0</v>
      </c>
      <c r="AK5" s="223">
        <v>293</v>
      </c>
      <c r="AL5" s="706">
        <v>1.7678571430000001</v>
      </c>
      <c r="AM5" s="698">
        <f>AK5+AL5*$AM$17</f>
        <v>381.39285715</v>
      </c>
      <c r="AN5"/>
      <c r="AO5" s="2" t="s">
        <v>181</v>
      </c>
      <c r="AP5" s="676">
        <f>IF(K9&lt;3000,AM5+(AM6-AM5)/3000*K9,IF(K9&lt;5000,AM6+(AM7-AM6)/2000*(K9-3000),IF(K9&lt;7000,AM7+(AM8-AM7)/2000*(K9-5000),AM8+(AM8-AM7)/2000*(K9-7000))))</f>
        <v>400.20785715</v>
      </c>
      <c r="AQ5" s="2"/>
      <c r="AR5" s="2"/>
      <c r="AS5" s="2"/>
      <c r="AT5" s="2"/>
      <c r="AU5" s="2"/>
      <c r="AV5" s="2"/>
      <c r="AW5" s="2"/>
      <c r="AX5" s="2"/>
    </row>
    <row r="6" spans="2:50" ht="15" customHeight="1" thickBot="1" x14ac:dyDescent="0.25">
      <c r="B6" s="62"/>
      <c r="D6" s="44"/>
      <c r="F6" s="68" t="s">
        <v>74</v>
      </c>
      <c r="G6" s="5" t="s">
        <v>71</v>
      </c>
      <c r="H6" s="93">
        <v>255</v>
      </c>
      <c r="J6" s="5" t="s">
        <v>95</v>
      </c>
      <c r="K6" s="85" t="str">
        <f>IF(X35&lt;0,"D","G")</f>
        <v>D</v>
      </c>
      <c r="L6" s="86">
        <f>IF(X35&gt;0,X35,-X35)</f>
        <v>2.4999999999999964</v>
      </c>
      <c r="M6" s="34"/>
      <c r="O6" s="36">
        <v>3000</v>
      </c>
      <c r="P6" s="644">
        <v>388</v>
      </c>
      <c r="Q6" s="698">
        <v>413</v>
      </c>
      <c r="R6" s="299">
        <v>442</v>
      </c>
      <c r="S6" s="698">
        <v>469</v>
      </c>
      <c r="T6" s="299">
        <v>500</v>
      </c>
      <c r="U6" s="698">
        <v>529</v>
      </c>
      <c r="W6" s="839">
        <v>0</v>
      </c>
      <c r="X6" s="839"/>
      <c r="Y6" s="533" t="s">
        <v>198</v>
      </c>
      <c r="Z6" s="252">
        <v>292</v>
      </c>
      <c r="AA6" s="408">
        <v>1.818181818</v>
      </c>
      <c r="AC6" s="839">
        <v>0</v>
      </c>
      <c r="AD6" s="839"/>
      <c r="AE6" s="533" t="s">
        <v>198</v>
      </c>
      <c r="AF6" s="252">
        <v>327</v>
      </c>
      <c r="AG6" s="408">
        <v>0.4545454545</v>
      </c>
      <c r="AH6"/>
      <c r="AI6" s="237"/>
      <c r="AJ6" s="289">
        <v>3000</v>
      </c>
      <c r="AK6" s="223">
        <v>388</v>
      </c>
      <c r="AL6" s="706">
        <v>2.5178571430000001</v>
      </c>
      <c r="AM6" s="698">
        <f>AK6+AL6*$AM$17</f>
        <v>513.89285715000005</v>
      </c>
      <c r="AN6"/>
      <c r="AO6" s="2"/>
      <c r="AR6" s="17" t="s">
        <v>338</v>
      </c>
      <c r="AS6" s="17">
        <f>C5</f>
        <v>461</v>
      </c>
      <c r="AT6" s="17">
        <v>0.43</v>
      </c>
      <c r="AU6" s="17">
        <f>AS6*AT6</f>
        <v>198.23</v>
      </c>
    </row>
    <row r="7" spans="2:50" ht="15" customHeight="1" thickBot="1" x14ac:dyDescent="0.25">
      <c r="B7" s="62" t="s">
        <v>83</v>
      </c>
      <c r="C7" s="92">
        <v>75</v>
      </c>
      <c r="D7" s="44" t="s">
        <v>65</v>
      </c>
      <c r="F7" s="68" t="s">
        <v>69</v>
      </c>
      <c r="G7" s="5" t="s">
        <v>72</v>
      </c>
      <c r="H7" s="93">
        <v>5</v>
      </c>
      <c r="J7" s="5" t="s">
        <v>73</v>
      </c>
      <c r="K7" s="903">
        <f>X33</f>
        <v>-4.3301270189221954</v>
      </c>
      <c r="L7" s="904"/>
      <c r="M7" s="34"/>
      <c r="O7" s="36">
        <v>5000</v>
      </c>
      <c r="P7" s="644">
        <v>475</v>
      </c>
      <c r="Q7" s="698">
        <v>509</v>
      </c>
      <c r="R7" s="299">
        <v>548</v>
      </c>
      <c r="S7" s="698">
        <v>585</v>
      </c>
      <c r="T7" s="299">
        <v>625</v>
      </c>
      <c r="U7" s="698">
        <v>670</v>
      </c>
      <c r="Y7" s="531" t="s">
        <v>199</v>
      </c>
      <c r="Z7" s="252">
        <v>294</v>
      </c>
      <c r="AA7" s="408">
        <v>1.7272727269999999</v>
      </c>
      <c r="AE7" s="531" t="s">
        <v>199</v>
      </c>
      <c r="AF7" s="252">
        <v>329</v>
      </c>
      <c r="AG7" s="408">
        <v>0.36363636360000001</v>
      </c>
      <c r="AH7"/>
      <c r="AI7" s="2"/>
      <c r="AJ7" s="212">
        <v>5000</v>
      </c>
      <c r="AK7" s="17">
        <v>475</v>
      </c>
      <c r="AL7" s="177">
        <v>3.4821428569999999</v>
      </c>
      <c r="AM7" s="698">
        <f>AK7+AL7*$AM$17</f>
        <v>649.10714284999995</v>
      </c>
      <c r="AN7"/>
      <c r="AO7" s="2"/>
      <c r="AR7" s="17"/>
      <c r="AS7" s="17"/>
      <c r="AT7" s="17"/>
      <c r="AU7" s="17"/>
    </row>
    <row r="8" spans="2:50" ht="15" customHeight="1" thickBot="1" x14ac:dyDescent="0.25">
      <c r="B8" s="62" t="s">
        <v>85</v>
      </c>
      <c r="C8" s="93">
        <v>47</v>
      </c>
      <c r="D8" s="44" t="s">
        <v>65</v>
      </c>
      <c r="F8" s="68" t="s">
        <v>65</v>
      </c>
      <c r="G8" s="5" t="s">
        <v>2</v>
      </c>
      <c r="H8" s="70">
        <f>C22</f>
        <v>680.34</v>
      </c>
      <c r="M8" s="34"/>
      <c r="O8" s="36">
        <v>7000</v>
      </c>
      <c r="P8" s="643">
        <v>600</v>
      </c>
      <c r="Q8" s="699">
        <v>648</v>
      </c>
      <c r="R8" s="697">
        <v>698</v>
      </c>
      <c r="S8" s="699">
        <v>751</v>
      </c>
      <c r="T8" s="697">
        <v>820</v>
      </c>
      <c r="U8" s="699">
        <v>885</v>
      </c>
      <c r="Y8" s="531" t="s">
        <v>200</v>
      </c>
      <c r="Z8" s="17">
        <v>293.25</v>
      </c>
      <c r="AA8" s="138">
        <v>1.75</v>
      </c>
      <c r="AE8" s="531" t="s">
        <v>200</v>
      </c>
      <c r="AF8" s="17">
        <v>330</v>
      </c>
      <c r="AG8" s="138">
        <v>0.33333333329999998</v>
      </c>
      <c r="AH8"/>
      <c r="AI8"/>
      <c r="AJ8" s="704">
        <v>7000</v>
      </c>
      <c r="AK8" s="539">
        <v>600</v>
      </c>
      <c r="AL8" s="707">
        <v>5.0892857139999998</v>
      </c>
      <c r="AM8" s="699">
        <f>AK8+AL8*$AM$17</f>
        <v>854.4642857</v>
      </c>
      <c r="AN8"/>
      <c r="AO8" s="2"/>
      <c r="AR8" s="17" t="s">
        <v>339</v>
      </c>
      <c r="AS8" s="17">
        <f>C7</f>
        <v>75</v>
      </c>
      <c r="AT8" s="17">
        <v>0.27900000000000003</v>
      </c>
      <c r="AU8" s="17">
        <f t="shared" ref="AU8:AU14" si="0">AS8*AT8</f>
        <v>20.925000000000001</v>
      </c>
    </row>
    <row r="9" spans="2:50" ht="15" customHeight="1" thickBot="1" x14ac:dyDescent="0.25">
      <c r="B9" s="62" t="s">
        <v>86</v>
      </c>
      <c r="C9" s="94">
        <v>4</v>
      </c>
      <c r="D9" s="44" t="s">
        <v>65</v>
      </c>
      <c r="F9" s="68" t="s">
        <v>66</v>
      </c>
      <c r="G9" s="5" t="s">
        <v>7</v>
      </c>
      <c r="H9" s="93">
        <v>426</v>
      </c>
      <c r="I9" s="60" t="str">
        <f>IF(H9&gt;8000,"8000 ft max","")</f>
        <v/>
      </c>
      <c r="J9" s="5" t="s">
        <v>96</v>
      </c>
      <c r="K9" s="916">
        <f>IF(H11&gt;1013,H9-(H11-1013)*28,H9+(1013-H11)*28)</f>
        <v>426</v>
      </c>
      <c r="L9" s="917"/>
      <c r="M9" s="34"/>
      <c r="O9" s="2"/>
      <c r="P9" s="1"/>
      <c r="Q9" s="1"/>
      <c r="R9" s="1"/>
      <c r="S9" s="1"/>
      <c r="T9" s="1"/>
      <c r="U9" s="1"/>
      <c r="W9" s="237"/>
      <c r="X9" s="237"/>
      <c r="Y9" s="532" t="s">
        <v>201</v>
      </c>
      <c r="Z9" s="410">
        <v>290.18181820000001</v>
      </c>
      <c r="AA9" s="411">
        <v>1.818181818</v>
      </c>
      <c r="AB9" s="237"/>
      <c r="AC9" s="237"/>
      <c r="AD9" s="237"/>
      <c r="AE9" s="532" t="s">
        <v>201</v>
      </c>
      <c r="AF9" s="410">
        <v>324.54545450000001</v>
      </c>
      <c r="AG9" s="411">
        <v>0.4545454545</v>
      </c>
      <c r="AH9" s="237"/>
      <c r="AI9"/>
      <c r="AJ9"/>
      <c r="AK9"/>
      <c r="AL9"/>
      <c r="AM9"/>
      <c r="AN9"/>
      <c r="AO9" s="2"/>
      <c r="AR9" s="17"/>
      <c r="AS9" s="17"/>
      <c r="AT9" s="17"/>
      <c r="AU9" s="17"/>
    </row>
    <row r="10" spans="2:50" ht="15" customHeight="1" thickBot="1" x14ac:dyDescent="0.25">
      <c r="B10" s="62"/>
      <c r="C10" s="87"/>
      <c r="D10" s="44"/>
      <c r="F10" s="68" t="s">
        <v>67</v>
      </c>
      <c r="G10" s="5" t="s">
        <v>0</v>
      </c>
      <c r="H10" s="93">
        <v>32</v>
      </c>
      <c r="I10" s="60" t="str">
        <f>IF(H10&gt;35,"35° max","")</f>
        <v/>
      </c>
      <c r="M10" s="34"/>
      <c r="P10" s="1" t="s">
        <v>202</v>
      </c>
      <c r="Q10" s="535">
        <f>H10+18</f>
        <v>50</v>
      </c>
      <c r="R10" s="1"/>
      <c r="S10" s="1"/>
      <c r="T10" s="1"/>
      <c r="U10" s="1"/>
      <c r="Y10" s="534"/>
      <c r="Z10" s="237"/>
      <c r="AA10" s="237"/>
      <c r="AE10" s="534"/>
      <c r="AF10" s="237"/>
      <c r="AG10" s="237"/>
      <c r="AH10"/>
      <c r="AI10" s="237"/>
      <c r="AJ10" s="237"/>
      <c r="AK10"/>
      <c r="AL10"/>
      <c r="AM10"/>
      <c r="AN10"/>
      <c r="AO10" s="2"/>
      <c r="AR10" s="17" t="s">
        <v>340</v>
      </c>
      <c r="AS10" s="17">
        <f>C8</f>
        <v>47</v>
      </c>
      <c r="AT10" s="17">
        <v>0.93700000000000006</v>
      </c>
      <c r="AU10" s="17">
        <f t="shared" si="0"/>
        <v>44.039000000000001</v>
      </c>
    </row>
    <row r="11" spans="2:50" ht="15" customHeight="1" thickBot="1" x14ac:dyDescent="0.25">
      <c r="B11" s="62"/>
      <c r="C11" s="87"/>
      <c r="D11" s="44"/>
      <c r="F11" s="68" t="s">
        <v>68</v>
      </c>
      <c r="G11" s="5" t="s">
        <v>8</v>
      </c>
      <c r="H11" s="93">
        <v>1013</v>
      </c>
      <c r="J11" s="43"/>
      <c r="K11" s="287"/>
      <c r="M11" s="34"/>
      <c r="O11" s="2"/>
      <c r="P11" s="1"/>
      <c r="Q11" s="1"/>
      <c r="R11" s="1"/>
      <c r="S11" s="1"/>
      <c r="T11" s="1"/>
      <c r="U11" s="1"/>
      <c r="W11" s="978">
        <v>3000</v>
      </c>
      <c r="X11" s="978"/>
      <c r="Y11" s="530" t="s">
        <v>197</v>
      </c>
      <c r="Z11" s="254">
        <v>388</v>
      </c>
      <c r="AA11" s="238">
        <v>2.2727272730000001</v>
      </c>
      <c r="AC11" s="978">
        <v>3000</v>
      </c>
      <c r="AD11" s="978"/>
      <c r="AE11" s="530" t="s">
        <v>197</v>
      </c>
      <c r="AF11" s="254">
        <v>339</v>
      </c>
      <c r="AG11" s="238">
        <v>0.4545454545</v>
      </c>
      <c r="AH11"/>
      <c r="AI11" s="237"/>
      <c r="AJ11" s="231"/>
      <c r="AK11" s="134" t="s">
        <v>172</v>
      </c>
      <c r="AL11" s="705" t="s">
        <v>173</v>
      </c>
      <c r="AM11" s="683" t="s">
        <v>329</v>
      </c>
      <c r="AN11"/>
      <c r="AO11" s="2"/>
      <c r="AR11" s="17"/>
      <c r="AS11" s="17"/>
      <c r="AT11" s="17"/>
      <c r="AU11" s="17"/>
    </row>
    <row r="12" spans="2:50" ht="15" customHeight="1" thickBot="1" x14ac:dyDescent="0.25">
      <c r="B12" s="62"/>
      <c r="C12" s="58" t="s">
        <v>87</v>
      </c>
      <c r="D12" s="44"/>
      <c r="F12" s="68" t="s">
        <v>69</v>
      </c>
      <c r="G12" s="5" t="s">
        <v>22</v>
      </c>
      <c r="H12" s="555">
        <f>X33</f>
        <v>-4.3301270189221954</v>
      </c>
      <c r="I12" s="79"/>
      <c r="J12" s="43"/>
      <c r="K12" s="287"/>
      <c r="M12" s="34"/>
      <c r="O12" s="1" t="s">
        <v>203</v>
      </c>
      <c r="P12" s="1"/>
      <c r="Q12" s="1"/>
      <c r="R12" s="1"/>
      <c r="S12" s="1" t="s">
        <v>23</v>
      </c>
      <c r="T12" s="1"/>
      <c r="U12" s="1"/>
      <c r="W12" s="536"/>
      <c r="X12" s="536"/>
      <c r="Y12" s="533" t="s">
        <v>198</v>
      </c>
      <c r="Z12" s="252">
        <v>384</v>
      </c>
      <c r="AA12" s="408">
        <v>2.636363636</v>
      </c>
      <c r="AC12" s="536"/>
      <c r="AD12" s="536"/>
      <c r="AE12" s="533" t="s">
        <v>198</v>
      </c>
      <c r="AF12" s="252">
        <v>338</v>
      </c>
      <c r="AG12" s="408">
        <v>0.54545454550000005</v>
      </c>
      <c r="AH12"/>
      <c r="AI12" s="237"/>
      <c r="AJ12" s="289">
        <v>0</v>
      </c>
      <c r="AK12" s="223">
        <v>328</v>
      </c>
      <c r="AL12" s="706">
        <v>0.39285714290000001</v>
      </c>
      <c r="AM12" s="698">
        <f>AK12+AL12*$AM$17</f>
        <v>347.64285714499999</v>
      </c>
      <c r="AN12"/>
      <c r="AO12" s="1" t="s">
        <v>181</v>
      </c>
      <c r="AP12" s="676">
        <f>IF(K9&lt;3000,AM12+(AM13-AM12)/3000*K9,IF(K9&lt;5000,AM13+(AM14-AM13)/2000*(K9-3000),IF(K9&lt;7000,AM14+(AM15-AM14)/2000*(K9-5000),AM15+(AM15-AM14)/2000*(K9-7000))))</f>
        <v>349.71200000194</v>
      </c>
      <c r="AR12" s="17" t="s">
        <v>341</v>
      </c>
      <c r="AS12" s="17">
        <f>C9</f>
        <v>4</v>
      </c>
      <c r="AT12" s="17">
        <v>1.4470000000000001</v>
      </c>
      <c r="AU12" s="17">
        <f t="shared" si="0"/>
        <v>5.7880000000000003</v>
      </c>
    </row>
    <row r="13" spans="2:50" ht="15" customHeight="1" thickBot="1" x14ac:dyDescent="0.25">
      <c r="B13" s="62" t="s">
        <v>90</v>
      </c>
      <c r="C13" s="105">
        <v>65</v>
      </c>
      <c r="D13" s="44" t="s">
        <v>88</v>
      </c>
      <c r="F13" s="68"/>
      <c r="G13" s="5"/>
      <c r="H13" s="545"/>
      <c r="M13" s="34"/>
      <c r="O13" s="177">
        <v>0</v>
      </c>
      <c r="P13" s="553">
        <f>IF($Q$10&lt;=11,Z5+AA5*$Q$10,IF($Q$10&lt;=22,Z6+AA6*$Q$10,IF($Q$10&lt;=33,Z7+AA7*$Q$10,IF($Q$10&lt;=45,Z8+AA8*$Q$10,Z9+AA9*$Q$10))))</f>
        <v>381.09090909999998</v>
      </c>
      <c r="Q13" s="1"/>
      <c r="R13" s="1"/>
      <c r="S13" s="552">
        <f>IF(K9&lt;=3000,P13+((P14-P13)/3000)*K9,IF(K9&lt;=5000,P14+((P15-P14)/2000)*(K9-3000),P15+((P16-P15)/2000)*(K9-5000)))</f>
        <v>399.84781819219995</v>
      </c>
      <c r="T13" s="1"/>
      <c r="U13" s="1"/>
      <c r="W13" s="538"/>
      <c r="X13" s="538"/>
      <c r="Y13" s="531" t="s">
        <v>199</v>
      </c>
      <c r="Z13" s="252">
        <v>388</v>
      </c>
      <c r="AA13" s="408">
        <v>2.4545454549999999</v>
      </c>
      <c r="AC13" s="538"/>
      <c r="AD13" s="538"/>
      <c r="AE13" s="531" t="s">
        <v>199</v>
      </c>
      <c r="AF13" s="252">
        <v>340</v>
      </c>
      <c r="AG13" s="408">
        <v>0.4545454545</v>
      </c>
      <c r="AH13"/>
      <c r="AI13"/>
      <c r="AJ13" s="289">
        <v>3000</v>
      </c>
      <c r="AK13" s="223">
        <v>339</v>
      </c>
      <c r="AL13" s="706">
        <v>0.46428571429999999</v>
      </c>
      <c r="AM13" s="698">
        <f>AK13+AL13*$AM$17</f>
        <v>362.21428571500002</v>
      </c>
      <c r="AN13"/>
      <c r="AO13" s="2"/>
      <c r="AR13" s="3"/>
      <c r="AS13" s="3"/>
      <c r="AT13" s="3"/>
      <c r="AU13" s="17"/>
    </row>
    <row r="14" spans="2:50" ht="15" customHeight="1" thickBot="1" x14ac:dyDescent="0.25">
      <c r="B14" s="62"/>
      <c r="C14" s="232" t="str">
        <f>IF(C13&gt;68,"max 68 Li","")</f>
        <v/>
      </c>
      <c r="D14" s="59"/>
      <c r="F14" s="33"/>
      <c r="M14" s="34"/>
      <c r="O14" s="544">
        <v>3000</v>
      </c>
      <c r="P14" s="553">
        <f>IF($Q$10&lt;=11,Z11+AA11*$Q$10,IF($Q$10&lt;=22,Z12+AA12*$Q$10,IF($Q$10&lt;=33,Z13+AA13*$Q$10,IF($Q$10&lt;=45,Z14+AA14*$Q$10,Z15+AA15*$Q$10))))</f>
        <v>513.18181819999995</v>
      </c>
      <c r="Q14" s="1"/>
      <c r="R14" s="1"/>
      <c r="S14" s="1"/>
      <c r="T14" s="1"/>
      <c r="U14" s="1"/>
      <c r="W14" s="538"/>
      <c r="X14" s="538"/>
      <c r="Y14" s="531" t="s">
        <v>200</v>
      </c>
      <c r="Z14" s="17">
        <v>383.75</v>
      </c>
      <c r="AA14" s="138">
        <v>2.5833333330000001</v>
      </c>
      <c r="AC14" s="538"/>
      <c r="AD14" s="538"/>
      <c r="AE14" s="531" t="s">
        <v>200</v>
      </c>
      <c r="AF14" s="17">
        <v>341.25</v>
      </c>
      <c r="AG14" s="138">
        <v>0.41666666670000002</v>
      </c>
      <c r="AH14"/>
      <c r="AI14"/>
      <c r="AJ14" s="212">
        <v>5000</v>
      </c>
      <c r="AK14" s="17">
        <v>349</v>
      </c>
      <c r="AL14" s="177">
        <v>0.46428571429999999</v>
      </c>
      <c r="AM14" s="698">
        <f>AK14+AL14*$AM$17</f>
        <v>372.21428571500002</v>
      </c>
      <c r="AN14"/>
      <c r="AO14" s="2" t="s">
        <v>342</v>
      </c>
      <c r="AP14" s="251">
        <f>AP12-190</f>
        <v>159.71200000194</v>
      </c>
      <c r="AR14" s="17" t="s">
        <v>87</v>
      </c>
      <c r="AS14" s="554">
        <f>C20</f>
        <v>93.34</v>
      </c>
      <c r="AT14" s="17">
        <v>0.60899999999999999</v>
      </c>
      <c r="AU14" s="17">
        <f t="shared" si="0"/>
        <v>56.844059999999999</v>
      </c>
    </row>
    <row r="15" spans="2:50" ht="24.95" customHeight="1" thickBot="1" x14ac:dyDescent="0.25">
      <c r="B15" s="62" t="s">
        <v>91</v>
      </c>
      <c r="C15" s="495">
        <v>65</v>
      </c>
      <c r="D15" s="44" t="s">
        <v>88</v>
      </c>
      <c r="F15" s="918" t="s">
        <v>282</v>
      </c>
      <c r="G15" s="919"/>
      <c r="H15" s="919"/>
      <c r="I15" s="919"/>
      <c r="J15" s="919"/>
      <c r="K15" s="919"/>
      <c r="L15" s="919"/>
      <c r="M15" s="920"/>
      <c r="O15" s="544">
        <v>5000</v>
      </c>
      <c r="P15" s="553">
        <f>IF($Q$10&lt;=11,Z17+AA17*$Q$10,IF($Q$10&lt;=22,Z18+AA18*$Q$10,IF($Q$10&lt;=33,Z19+AA19*$Q$10,IF($Q$10&lt;=45,Z20+AA20*$Q$10,Z21+AA21*$Q$10))))</f>
        <v>645.45454545000007</v>
      </c>
      <c r="Q15" s="1"/>
      <c r="R15" s="1"/>
      <c r="S15" s="1"/>
      <c r="T15" s="1"/>
      <c r="U15" s="1"/>
      <c r="W15" s="537"/>
      <c r="X15" s="537"/>
      <c r="Y15" s="532" t="s">
        <v>201</v>
      </c>
      <c r="Z15" s="539">
        <v>381.36363640000002</v>
      </c>
      <c r="AA15" s="540">
        <v>2.636363636</v>
      </c>
      <c r="AC15" s="537"/>
      <c r="AD15" s="537"/>
      <c r="AE15" s="532" t="s">
        <v>201</v>
      </c>
      <c r="AF15" s="539">
        <v>339.54545450000001</v>
      </c>
      <c r="AG15" s="540">
        <v>0.4545454545</v>
      </c>
      <c r="AJ15" s="704">
        <v>7000</v>
      </c>
      <c r="AK15" s="539">
        <v>359</v>
      </c>
      <c r="AL15" s="707">
        <v>0.46428571429999999</v>
      </c>
      <c r="AM15" s="699">
        <f>AK15+AL15*$AM$17</f>
        <v>382.21428571500002</v>
      </c>
      <c r="AO15" s="2"/>
    </row>
    <row r="16" spans="2:50" ht="15" customHeight="1" thickBot="1" x14ac:dyDescent="0.25">
      <c r="B16" s="62"/>
      <c r="C16" s="232" t="str">
        <f>IF(C15&gt;68,"max 68 Li","")</f>
        <v/>
      </c>
      <c r="D16" s="59"/>
      <c r="F16" s="33"/>
      <c r="H16" s="227" t="s">
        <v>97</v>
      </c>
      <c r="I16" s="546"/>
      <c r="J16" s="264"/>
      <c r="M16" s="34"/>
      <c r="O16" s="544">
        <v>7000</v>
      </c>
      <c r="P16" s="535">
        <f>IF($Q$10&lt;=11,Z23+AA23*$Q$10,IF($Q$10&lt;=22,Z24+AA24*$Q$10,IF($Q$10&lt;=33,Z25+AA25*$Q$10,IF($Q$10&lt;=45,Z26+AA26*$Q$10,Z27+AA27*$Q$10))))</f>
        <v>849.54545454999993</v>
      </c>
      <c r="Q16" s="1"/>
      <c r="R16" s="1"/>
      <c r="S16" s="1"/>
      <c r="T16" s="1"/>
      <c r="U16" s="1"/>
      <c r="W16" s="538"/>
      <c r="X16" s="538"/>
      <c r="Z16" s="2"/>
      <c r="AA16" s="2"/>
      <c r="AC16" s="538"/>
      <c r="AD16" s="538"/>
      <c r="AF16" s="2"/>
      <c r="AG16" s="2"/>
      <c r="AH16" s="163"/>
      <c r="AI16" s="163"/>
      <c r="AJ16" s="163"/>
      <c r="AK16" s="163"/>
      <c r="AL16"/>
      <c r="AM16"/>
      <c r="AO16" s="2"/>
      <c r="AR16" s="251" t="s">
        <v>92</v>
      </c>
      <c r="AS16" s="712">
        <f>SUM(AS6:AS14)</f>
        <v>680.34</v>
      </c>
      <c r="AT16" s="711">
        <f>AU16/AS16</f>
        <v>0.47891651233206928</v>
      </c>
      <c r="AU16" s="713">
        <f>SUM(AU6:AU14)</f>
        <v>325.82606000000004</v>
      </c>
    </row>
    <row r="17" spans="2:48" ht="24.95" customHeight="1" thickBot="1" x14ac:dyDescent="0.25">
      <c r="B17" s="63" t="s">
        <v>92</v>
      </c>
      <c r="D17" s="44"/>
      <c r="F17" s="33"/>
      <c r="G17" s="67" t="s">
        <v>98</v>
      </c>
      <c r="H17" s="81">
        <f>AP5</f>
        <v>400.20785715</v>
      </c>
      <c r="I17" s="69" t="s">
        <v>48</v>
      </c>
      <c r="J17" s="69"/>
      <c r="M17" s="34"/>
      <c r="O17" s="2"/>
      <c r="P17" s="1"/>
      <c r="Q17" s="1"/>
      <c r="R17" s="1"/>
      <c r="S17" s="1"/>
      <c r="T17" s="1"/>
      <c r="U17" s="1"/>
      <c r="W17" s="977">
        <v>5000</v>
      </c>
      <c r="X17" s="977"/>
      <c r="Y17" s="530" t="s">
        <v>197</v>
      </c>
      <c r="Z17" s="541">
        <v>475</v>
      </c>
      <c r="AA17" s="542">
        <v>3.0909090909999999</v>
      </c>
      <c r="AB17" s="4"/>
      <c r="AC17" s="977">
        <v>5000</v>
      </c>
      <c r="AD17" s="977"/>
      <c r="AE17" s="530" t="s">
        <v>197</v>
      </c>
      <c r="AF17" s="541">
        <v>349</v>
      </c>
      <c r="AG17" s="542">
        <v>0.4545454545</v>
      </c>
      <c r="AH17" s="4"/>
      <c r="AI17" s="4"/>
      <c r="AJ17" s="2" t="s">
        <v>181</v>
      </c>
      <c r="AK17" s="5"/>
      <c r="AL17" s="177" t="s">
        <v>336</v>
      </c>
      <c r="AM17" s="708">
        <f>H10+18</f>
        <v>50</v>
      </c>
    </row>
    <row r="18" spans="2:48" ht="15" customHeight="1" thickBot="1" x14ac:dyDescent="0.25">
      <c r="B18" s="64" t="s">
        <v>87</v>
      </c>
      <c r="C18" s="57">
        <f>SUM(C13:C15)</f>
        <v>130</v>
      </c>
      <c r="D18" s="44" t="s">
        <v>88</v>
      </c>
      <c r="F18" s="33"/>
      <c r="H18" s="459" t="s">
        <v>204</v>
      </c>
      <c r="I18" s="459"/>
      <c r="M18" s="34"/>
      <c r="O18" s="944" t="s">
        <v>205</v>
      </c>
      <c r="P18" s="944"/>
      <c r="Q18" s="2" t="s">
        <v>193</v>
      </c>
      <c r="R18" s="1"/>
      <c r="S18" s="1"/>
      <c r="T18" s="1"/>
      <c r="U18" s="1"/>
      <c r="W18" s="1" t="s">
        <v>4</v>
      </c>
      <c r="Y18" s="533" t="s">
        <v>198</v>
      </c>
      <c r="Z18" s="223">
        <v>470</v>
      </c>
      <c r="AA18" s="543">
        <v>3.5454545450000001</v>
      </c>
      <c r="AB18" s="4"/>
      <c r="AC18" s="1" t="s">
        <v>4</v>
      </c>
      <c r="AE18" s="533" t="s">
        <v>198</v>
      </c>
      <c r="AF18" s="223">
        <v>348</v>
      </c>
      <c r="AG18" s="543">
        <v>0.54545454550000005</v>
      </c>
      <c r="AH18" s="4"/>
      <c r="AI18" s="2"/>
      <c r="AJ18" s="2"/>
      <c r="AK18"/>
      <c r="AL18"/>
      <c r="AM18"/>
      <c r="AS18" s="2" t="s">
        <v>343</v>
      </c>
      <c r="AT18" s="260">
        <f>0.03953676471+(0.0004632352941*C22)</f>
        <v>0.35469426469799403</v>
      </c>
    </row>
    <row r="19" spans="2:48" ht="24.95" customHeight="1" thickBot="1" x14ac:dyDescent="0.25">
      <c r="B19" s="63" t="s">
        <v>92</v>
      </c>
      <c r="D19" s="51" t="s">
        <v>4</v>
      </c>
      <c r="F19" s="918" t="s">
        <v>283</v>
      </c>
      <c r="G19" s="919"/>
      <c r="H19" s="919"/>
      <c r="I19" s="919"/>
      <c r="J19" s="919"/>
      <c r="K19" s="919"/>
      <c r="L19" s="919"/>
      <c r="M19" s="920"/>
      <c r="O19" s="8" t="s">
        <v>0</v>
      </c>
      <c r="P19" s="680">
        <v>0</v>
      </c>
      <c r="Q19" s="684">
        <v>11</v>
      </c>
      <c r="R19" s="696">
        <v>22</v>
      </c>
      <c r="S19" s="684">
        <v>33</v>
      </c>
      <c r="T19" s="696">
        <v>45</v>
      </c>
      <c r="U19" s="684">
        <v>56</v>
      </c>
      <c r="Y19" s="531" t="s">
        <v>199</v>
      </c>
      <c r="Z19" s="223">
        <v>474</v>
      </c>
      <c r="AA19" s="543">
        <v>3.363636364</v>
      </c>
      <c r="AB19" s="2"/>
      <c r="AE19" s="531" t="s">
        <v>199</v>
      </c>
      <c r="AF19" s="223">
        <v>350</v>
      </c>
      <c r="AG19" s="543">
        <v>0.4545454545</v>
      </c>
      <c r="AH19" s="2"/>
      <c r="AI19" s="2"/>
      <c r="AJ19" s="231"/>
      <c r="AK19" s="134" t="s">
        <v>172</v>
      </c>
      <c r="AL19" s="705" t="s">
        <v>173</v>
      </c>
      <c r="AM19" s="683" t="s">
        <v>329</v>
      </c>
      <c r="AT19" s="2"/>
    </row>
    <row r="20" spans="2:48" ht="15" customHeight="1" thickBot="1" x14ac:dyDescent="0.25">
      <c r="B20" s="64" t="s">
        <v>87</v>
      </c>
      <c r="C20" s="50">
        <f>C18*0.718</f>
        <v>93.34</v>
      </c>
      <c r="D20" s="55" t="s">
        <v>65</v>
      </c>
      <c r="F20" s="33"/>
      <c r="H20" s="546"/>
      <c r="I20" s="546"/>
      <c r="M20" s="34"/>
      <c r="O20" s="8" t="s">
        <v>1</v>
      </c>
      <c r="P20" s="4"/>
      <c r="Q20" s="4"/>
      <c r="R20" s="4"/>
      <c r="S20" s="4"/>
      <c r="T20" s="4"/>
      <c r="U20" s="4"/>
      <c r="Y20" s="531" t="s">
        <v>200</v>
      </c>
      <c r="Z20" s="17">
        <v>475</v>
      </c>
      <c r="AA20" s="138">
        <v>3.3333333330000001</v>
      </c>
      <c r="AE20" s="531" t="s">
        <v>200</v>
      </c>
      <c r="AF20" s="17">
        <v>351.25</v>
      </c>
      <c r="AG20" s="138">
        <v>0.41666666670000002</v>
      </c>
      <c r="AJ20" s="289">
        <v>0</v>
      </c>
      <c r="AK20" s="223">
        <v>293</v>
      </c>
      <c r="AL20" s="706">
        <v>4.3857142859999997E-2</v>
      </c>
      <c r="AM20" s="698">
        <f t="shared" ref="AM20:AM25" si="1">AK20+AL20*$AM$17</f>
        <v>295.19285714300003</v>
      </c>
      <c r="AS20" s="2" t="s">
        <v>301</v>
      </c>
      <c r="AT20" s="251" t="str">
        <f>IF(AT16&lt;0.292,AV20,IF(AT16&gt;0.533,AT20,IF(AT16&lt;AT18,AV20,AV21)))</f>
        <v>"Centrage correct"</v>
      </c>
      <c r="AV20" s="1" t="s">
        <v>344</v>
      </c>
    </row>
    <row r="21" spans="2:48" ht="15" customHeight="1" thickBot="1" x14ac:dyDescent="0.25">
      <c r="B21" s="62"/>
      <c r="D21" s="51"/>
      <c r="F21" s="33"/>
      <c r="G21" s="617" t="s">
        <v>3</v>
      </c>
      <c r="H21" s="616" t="s">
        <v>284</v>
      </c>
      <c r="I21" s="548"/>
      <c r="M21" s="34"/>
      <c r="O21" s="658">
        <v>0</v>
      </c>
      <c r="P21" s="683">
        <v>328</v>
      </c>
      <c r="Q21" s="679">
        <v>332</v>
      </c>
      <c r="R21" s="683">
        <v>337</v>
      </c>
      <c r="S21" s="679">
        <v>341</v>
      </c>
      <c r="T21" s="683">
        <v>345</v>
      </c>
      <c r="U21" s="695">
        <v>350</v>
      </c>
      <c r="Y21" s="532" t="s">
        <v>201</v>
      </c>
      <c r="Z21" s="539">
        <v>440.90909090000002</v>
      </c>
      <c r="AA21" s="540">
        <v>4.0909090910000003</v>
      </c>
      <c r="AE21" s="532" t="s">
        <v>201</v>
      </c>
      <c r="AF21" s="539">
        <v>349.54545450000001</v>
      </c>
      <c r="AG21" s="540">
        <v>0.4545454545</v>
      </c>
      <c r="AJ21" s="289">
        <v>11</v>
      </c>
      <c r="AK21" s="223">
        <v>312</v>
      </c>
      <c r="AL21" s="706">
        <v>4.8000000000000001E-2</v>
      </c>
      <c r="AM21" s="698">
        <f t="shared" si="1"/>
        <v>314.39999999999998</v>
      </c>
      <c r="AV21" s="1" t="s">
        <v>316</v>
      </c>
    </row>
    <row r="22" spans="2:48" ht="15" customHeight="1" thickBot="1" x14ac:dyDescent="0.25">
      <c r="B22" s="64" t="s">
        <v>93</v>
      </c>
      <c r="C22" s="88">
        <f>C5+SUM(C7:C11)+C20</f>
        <v>680.34</v>
      </c>
      <c r="D22" s="55" t="s">
        <v>65</v>
      </c>
      <c r="F22" s="33"/>
      <c r="H22" s="547" t="s">
        <v>103</v>
      </c>
      <c r="I22" s="548"/>
      <c r="M22" s="34"/>
      <c r="O22" s="701">
        <v>3000</v>
      </c>
      <c r="P22" s="698">
        <v>339</v>
      </c>
      <c r="Q22" s="299">
        <v>344</v>
      </c>
      <c r="R22" s="698">
        <v>350</v>
      </c>
      <c r="S22" s="299">
        <v>355</v>
      </c>
      <c r="T22" s="698">
        <v>360</v>
      </c>
      <c r="U22" s="340">
        <v>365</v>
      </c>
      <c r="Y22"/>
      <c r="Z22"/>
      <c r="AA22"/>
      <c r="AB22"/>
      <c r="AE22"/>
      <c r="AF22"/>
      <c r="AG22"/>
      <c r="AH22"/>
      <c r="AI22"/>
      <c r="AJ22" s="212">
        <v>22</v>
      </c>
      <c r="AK22" s="17">
        <v>332</v>
      </c>
      <c r="AL22" s="177">
        <v>5.228571429E-2</v>
      </c>
      <c r="AM22" s="698">
        <f t="shared" si="1"/>
        <v>334.6142857145</v>
      </c>
    </row>
    <row r="23" spans="2:48" ht="24.95" customHeight="1" thickBot="1" x14ac:dyDescent="0.25">
      <c r="B23" s="33"/>
      <c r="C23" s="60" t="str">
        <f>IF(C22&gt;681,"max 681 Kg","")</f>
        <v/>
      </c>
      <c r="D23" s="34"/>
      <c r="F23" s="615" t="s">
        <v>37</v>
      </c>
      <c r="G23" s="81">
        <f>AP14</f>
        <v>159.71200000194</v>
      </c>
      <c r="H23" s="81">
        <f>AP12</f>
        <v>349.71200000194</v>
      </c>
      <c r="I23" s="69" t="s">
        <v>48</v>
      </c>
      <c r="J23" s="69"/>
      <c r="M23" s="34"/>
      <c r="O23" s="701">
        <v>5000</v>
      </c>
      <c r="P23" s="698">
        <v>349</v>
      </c>
      <c r="Q23" s="299">
        <v>354</v>
      </c>
      <c r="R23" s="698">
        <v>360</v>
      </c>
      <c r="S23" s="299">
        <v>365</v>
      </c>
      <c r="T23" s="698">
        <v>370</v>
      </c>
      <c r="U23" s="340">
        <v>375</v>
      </c>
      <c r="W23" s="977">
        <v>7000</v>
      </c>
      <c r="X23" s="977"/>
      <c r="Y23" s="530" t="s">
        <v>197</v>
      </c>
      <c r="Z23" s="541">
        <v>600</v>
      </c>
      <c r="AA23" s="542">
        <v>4.3636363640000004</v>
      </c>
      <c r="AC23" s="977">
        <v>7000</v>
      </c>
      <c r="AD23" s="977"/>
      <c r="AE23" s="530" t="s">
        <v>197</v>
      </c>
      <c r="AF23" s="541">
        <v>359</v>
      </c>
      <c r="AG23" s="542">
        <v>0.4545454545</v>
      </c>
      <c r="AH23" s="2"/>
      <c r="AI23" s="2"/>
      <c r="AJ23" s="289">
        <v>33</v>
      </c>
      <c r="AK23" s="223">
        <v>351</v>
      </c>
      <c r="AL23" s="706">
        <v>5.7142857140000003E-2</v>
      </c>
      <c r="AM23" s="698">
        <f t="shared" si="1"/>
        <v>353.85714285699999</v>
      </c>
      <c r="AT23" s="5">
        <f>IF(C22&gt;545,1,2)</f>
        <v>1</v>
      </c>
    </row>
    <row r="24" spans="2:48" ht="15" customHeight="1" thickBot="1" x14ac:dyDescent="0.25">
      <c r="B24" s="33"/>
      <c r="C24" s="5" t="s">
        <v>287</v>
      </c>
      <c r="D24" s="34"/>
      <c r="F24" s="33"/>
      <c r="M24" s="34"/>
      <c r="O24" s="702">
        <v>7000</v>
      </c>
      <c r="P24" s="699">
        <v>359</v>
      </c>
      <c r="Q24" s="697">
        <v>364</v>
      </c>
      <c r="R24" s="699">
        <v>370</v>
      </c>
      <c r="S24" s="697">
        <v>375</v>
      </c>
      <c r="T24" s="699">
        <v>380</v>
      </c>
      <c r="U24" s="703">
        <v>385</v>
      </c>
      <c r="W24" s="1" t="s">
        <v>4</v>
      </c>
      <c r="Y24" s="533" t="s">
        <v>198</v>
      </c>
      <c r="Z24" s="223">
        <v>598</v>
      </c>
      <c r="AA24" s="543">
        <v>4.5454545450000001</v>
      </c>
      <c r="AC24" s="1" t="s">
        <v>4</v>
      </c>
      <c r="AE24" s="533" t="s">
        <v>198</v>
      </c>
      <c r="AF24" s="223">
        <v>358</v>
      </c>
      <c r="AG24" s="543">
        <v>0.54545454550000005</v>
      </c>
      <c r="AH24" s="2"/>
      <c r="AI24" s="2"/>
      <c r="AJ24" s="212">
        <v>45</v>
      </c>
      <c r="AK24" s="17">
        <v>372</v>
      </c>
      <c r="AL24" s="165">
        <v>6.4000000000000001E-2</v>
      </c>
      <c r="AM24" s="698">
        <f t="shared" si="1"/>
        <v>375.2</v>
      </c>
    </row>
    <row r="25" spans="2:48" ht="24.95" customHeight="1" thickTop="1" thickBot="1" x14ac:dyDescent="0.25">
      <c r="B25" s="979" t="str">
        <f>AT20</f>
        <v>"Centrage correct"</v>
      </c>
      <c r="C25" s="980"/>
      <c r="D25" s="981"/>
      <c r="F25" s="549"/>
      <c r="G25" s="549"/>
      <c r="H25" s="550"/>
      <c r="I25" s="550"/>
      <c r="J25" s="551"/>
      <c r="K25" s="110"/>
      <c r="L25" s="110"/>
      <c r="M25" s="110"/>
      <c r="O25" s="8"/>
      <c r="P25" s="1"/>
      <c r="Q25" s="1"/>
      <c r="R25" s="1"/>
      <c r="S25" s="1"/>
      <c r="T25" s="1"/>
      <c r="U25" s="1"/>
      <c r="Y25" s="531" t="s">
        <v>199</v>
      </c>
      <c r="Z25" s="223">
        <v>592</v>
      </c>
      <c r="AA25" s="543">
        <v>4.8181818180000002</v>
      </c>
      <c r="AE25" s="531" t="s">
        <v>199</v>
      </c>
      <c r="AF25" s="223">
        <v>360</v>
      </c>
      <c r="AG25" s="543">
        <v>0.4545454545</v>
      </c>
      <c r="AH25" s="4"/>
      <c r="AI25" s="4"/>
      <c r="AJ25" s="143">
        <v>56</v>
      </c>
      <c r="AK25" s="144">
        <v>392</v>
      </c>
      <c r="AL25" s="167">
        <v>7.0428571430000003E-2</v>
      </c>
      <c r="AM25" s="699">
        <f t="shared" si="1"/>
        <v>395.5214285715</v>
      </c>
    </row>
    <row r="26" spans="2:48" ht="15" customHeight="1" thickBot="1" x14ac:dyDescent="0.25">
      <c r="B26" s="52"/>
      <c r="C26" s="53"/>
      <c r="D26" s="54"/>
      <c r="F26" s="1" t="s">
        <v>4</v>
      </c>
      <c r="O26" s="1" t="s">
        <v>203</v>
      </c>
      <c r="P26" s="1"/>
      <c r="Q26" s="1"/>
      <c r="R26" s="1"/>
      <c r="S26" s="1" t="s">
        <v>23</v>
      </c>
      <c r="T26" s="1"/>
      <c r="U26" s="1"/>
      <c r="Y26" s="531" t="s">
        <v>200</v>
      </c>
      <c r="Z26" s="17">
        <v>561.25</v>
      </c>
      <c r="AA26" s="138">
        <v>5.75</v>
      </c>
      <c r="AB26" s="2"/>
      <c r="AE26" s="531" t="s">
        <v>200</v>
      </c>
      <c r="AF26" s="17">
        <v>361.25</v>
      </c>
      <c r="AG26" s="138">
        <v>0.41666666670000002</v>
      </c>
      <c r="AH26"/>
      <c r="AI26" s="237"/>
      <c r="AJ26" s="237"/>
      <c r="AK26" s="2"/>
    </row>
    <row r="27" spans="2:48" ht="15" customHeight="1" thickTop="1" thickBot="1" x14ac:dyDescent="0.25">
      <c r="O27" s="177">
        <v>0</v>
      </c>
      <c r="P27" s="553">
        <f>IF($Q$10&lt;=11,AF5+AG5*$Q$10,IF($Q$10&lt;=22,AF6+AG6*$Q$10,IF($Q$10&lt;=33,AF7+AG7*$Q$10,IF($Q$10&lt;=45,AF8+AG8*$Q$10,AF9+AG9*$Q$10))))</f>
        <v>347.27272722499998</v>
      </c>
      <c r="Q27" s="1"/>
      <c r="R27" s="1"/>
      <c r="S27" s="552">
        <f>IF(K9&lt;=3000,P27+((P28-P27)/3000)*K9,IF(K9&lt;=5000,P28+((P29-P28)/2000)*(K9-3000),P29+((P30-P29)/2000)*(K9-5000)))</f>
        <v>349.40272722499998</v>
      </c>
      <c r="T27" s="1"/>
      <c r="U27" s="1"/>
      <c r="Y27" s="532" t="s">
        <v>201</v>
      </c>
      <c r="Z27" s="539">
        <v>554.09090909999998</v>
      </c>
      <c r="AA27" s="540">
        <v>5.9090909089999997</v>
      </c>
      <c r="AE27" s="532" t="s">
        <v>201</v>
      </c>
      <c r="AF27" s="539">
        <v>359.54545450000001</v>
      </c>
      <c r="AG27" s="540">
        <v>0.4545454545</v>
      </c>
      <c r="AH27"/>
      <c r="AI27" s="237"/>
      <c r="AJ27" s="237"/>
      <c r="AK27" s="2"/>
    </row>
    <row r="28" spans="2:48" ht="15" customHeight="1" thickBot="1" x14ac:dyDescent="0.25">
      <c r="H28"/>
      <c r="O28" s="544">
        <v>3000</v>
      </c>
      <c r="P28" s="553">
        <f>IF($Q$10&lt;=11,AF11+AG11*$Q$10,IF($Q$10&lt;=22,AF12+AG12*$Q$10,IF($Q$10&lt;=33,AF13+AG13*$Q$10,IF($Q$10&lt;=45,AF14+AG14*$Q$10,AF15+AG15*$Q$10))))</f>
        <v>362.27272722499998</v>
      </c>
      <c r="Q28" s="1"/>
      <c r="R28" s="1"/>
      <c r="S28" s="1"/>
      <c r="T28" s="1"/>
      <c r="U28" s="1"/>
      <c r="Y28" s="405"/>
      <c r="Z28" s="237"/>
      <c r="AA28" s="237"/>
      <c r="AC28" s="80"/>
      <c r="AD28" s="80"/>
      <c r="AF28" s="237"/>
      <c r="AG28" s="237"/>
      <c r="AH28"/>
      <c r="AI28" s="2"/>
      <c r="AJ28" s="231"/>
      <c r="AK28" s="134" t="s">
        <v>172</v>
      </c>
      <c r="AL28" s="705" t="s">
        <v>173</v>
      </c>
      <c r="AM28" s="683" t="s">
        <v>329</v>
      </c>
    </row>
    <row r="29" spans="2:48" ht="15" customHeight="1" thickBot="1" x14ac:dyDescent="0.25">
      <c r="H29" s="228"/>
      <c r="O29" s="544">
        <v>5000</v>
      </c>
      <c r="P29" s="553">
        <f>IF($Q$10&lt;=11,AF17+AG17*$Q$10,IF($Q$10&lt;=22,AF18+AG18*$Q$10,IF($Q$10&lt;=33,AF19+AG19*$Q$10,IF($Q$10&lt;=45,AF20+AG20*$Q$10,AF21+AG21*$Q$10))))</f>
        <v>372.27272722499998</v>
      </c>
      <c r="Q29" s="1"/>
      <c r="R29" s="1"/>
      <c r="S29" s="1"/>
      <c r="T29" s="1"/>
      <c r="U29" s="1"/>
      <c r="AF29" s="16"/>
      <c r="AG29" s="21"/>
      <c r="AH29"/>
      <c r="AI29"/>
      <c r="AJ29" s="289">
        <v>0</v>
      </c>
      <c r="AK29" s="223">
        <v>328</v>
      </c>
      <c r="AL29" s="706">
        <v>4.4285714289999997E-3</v>
      </c>
      <c r="AM29" s="698">
        <f t="shared" ref="AM29:AM34" si="2">AK29+AL29*$AM$17</f>
        <v>328.22142857145002</v>
      </c>
    </row>
    <row r="30" spans="2:48" ht="15" customHeight="1" thickBot="1" x14ac:dyDescent="0.25">
      <c r="H30" s="228"/>
      <c r="I30" s="99"/>
      <c r="O30" s="544">
        <v>7000</v>
      </c>
      <c r="P30" s="535">
        <f>IF($Q$10&lt;=11,AF23+AG23*$Q$10,IF($Q$10&lt;=22,AF24+AG24*$Q$10,IF($Q$10&lt;=33,AF25+AG25*$Q$10,IF($Q$10&lt;=45,AF26+AG26*$Q$10,AF27+AG27*$Q$10))))</f>
        <v>382.27272722499998</v>
      </c>
      <c r="Q30" s="1"/>
      <c r="R30" s="1"/>
      <c r="S30" s="1" t="s">
        <v>4</v>
      </c>
      <c r="T30" s="1"/>
      <c r="U30" s="1"/>
      <c r="W30" s="237"/>
      <c r="X30" s="237"/>
      <c r="Y30" s="405"/>
      <c r="Z30" s="237"/>
      <c r="AA30" s="237"/>
      <c r="AB30" s="237"/>
      <c r="AC30" s="237"/>
      <c r="AD30" s="237"/>
      <c r="AE30" s="237"/>
      <c r="AF30" s="237"/>
      <c r="AG30" s="237"/>
      <c r="AH30" s="237"/>
      <c r="AI30"/>
      <c r="AJ30" s="289">
        <v>11</v>
      </c>
      <c r="AK30" s="223">
        <v>332</v>
      </c>
      <c r="AL30" s="706">
        <v>4.5714285709999997E-3</v>
      </c>
      <c r="AM30" s="698">
        <f t="shared" si="2"/>
        <v>332.22857142855003</v>
      </c>
    </row>
    <row r="31" spans="2:48" ht="15" customHeight="1" x14ac:dyDescent="0.2">
      <c r="H31" s="228"/>
      <c r="I31" s="1" t="s">
        <v>4</v>
      </c>
      <c r="P31" s="1"/>
      <c r="Q31" s="1"/>
      <c r="R31" s="1"/>
      <c r="S31" s="1"/>
      <c r="T31" s="1"/>
      <c r="U31" s="1"/>
      <c r="Y31" s="405"/>
      <c r="Z31" s="237"/>
      <c r="AA31" s="237"/>
      <c r="AC31" s="237"/>
      <c r="AD31" s="237"/>
      <c r="AF31" s="237"/>
      <c r="AG31" s="237"/>
      <c r="AH31"/>
      <c r="AI31" s="237"/>
      <c r="AJ31" s="212">
        <v>22</v>
      </c>
      <c r="AK31" s="17">
        <v>337</v>
      </c>
      <c r="AL31" s="177">
        <v>4.7142857140000001E-3</v>
      </c>
      <c r="AM31" s="698">
        <f t="shared" si="2"/>
        <v>337.2357142857</v>
      </c>
    </row>
    <row r="32" spans="2:48" ht="15" customHeight="1" x14ac:dyDescent="0.2">
      <c r="O32" s="1" t="s">
        <v>108</v>
      </c>
      <c r="P32" s="1"/>
      <c r="Q32" s="1"/>
      <c r="R32" s="1"/>
      <c r="S32" s="1"/>
      <c r="T32" s="1"/>
      <c r="U32" s="1"/>
      <c r="V32" s="1"/>
      <c r="Y32" s="405"/>
      <c r="Z32" s="237"/>
      <c r="AA32" s="237"/>
      <c r="AC32" s="237"/>
      <c r="AD32" s="237"/>
      <c r="AF32" s="237"/>
      <c r="AG32" s="237"/>
      <c r="AH32"/>
      <c r="AI32" s="237"/>
      <c r="AJ32" s="289">
        <v>33</v>
      </c>
      <c r="AK32" s="223">
        <v>341</v>
      </c>
      <c r="AL32" s="706">
        <v>4.8571428569999997E-3</v>
      </c>
      <c r="AM32" s="698">
        <f t="shared" si="2"/>
        <v>341.24285714285003</v>
      </c>
    </row>
    <row r="33" spans="15:39" ht="15" customHeight="1" x14ac:dyDescent="0.2">
      <c r="O33" s="83" t="s">
        <v>109</v>
      </c>
      <c r="P33" s="17">
        <f>H6</f>
        <v>255</v>
      </c>
      <c r="Q33" s="2"/>
      <c r="R33" s="17">
        <f>RADIANS(P33)</f>
        <v>4.4505895925855405</v>
      </c>
      <c r="S33" s="2"/>
      <c r="T33" s="2" t="s">
        <v>111</v>
      </c>
      <c r="U33" s="17">
        <f>RADIANS(270)-R33</f>
        <v>0.26179938779914913</v>
      </c>
      <c r="V33" s="2"/>
      <c r="W33" s="2" t="s">
        <v>113</v>
      </c>
      <c r="X33" s="17">
        <f>P34*(COS(U33)*COS(U35)+SIN(U33)*SIN(U35))</f>
        <v>-4.3301270189221954</v>
      </c>
      <c r="Y33" s="405"/>
      <c r="Z33" s="237"/>
      <c r="AA33" s="237"/>
      <c r="AC33" s="237"/>
      <c r="AD33" s="237"/>
      <c r="AF33" s="237"/>
      <c r="AG33" s="237"/>
      <c r="AH33"/>
      <c r="AI33" s="237"/>
      <c r="AJ33" s="212">
        <v>45</v>
      </c>
      <c r="AK33" s="17">
        <v>345</v>
      </c>
      <c r="AL33" s="165">
        <v>5.0000000000000001E-3</v>
      </c>
      <c r="AM33" s="698">
        <f t="shared" si="2"/>
        <v>345.25</v>
      </c>
    </row>
    <row r="34" spans="15:39" ht="15" customHeight="1" thickBot="1" x14ac:dyDescent="0.25">
      <c r="O34" s="83" t="s">
        <v>110</v>
      </c>
      <c r="P34" s="17">
        <f>H7</f>
        <v>5</v>
      </c>
      <c r="Q34" s="2"/>
      <c r="R34" s="2"/>
      <c r="S34" s="2"/>
      <c r="T34" s="2"/>
      <c r="U34" s="2"/>
      <c r="V34" s="2"/>
      <c r="W34" s="2"/>
      <c r="X34" s="2"/>
      <c r="AH34" s="2"/>
      <c r="AI34" s="2"/>
      <c r="AJ34" s="143">
        <v>56</v>
      </c>
      <c r="AK34" s="144">
        <v>350</v>
      </c>
      <c r="AL34" s="167">
        <v>5.0000000000000001E-3</v>
      </c>
      <c r="AM34" s="699">
        <f t="shared" si="2"/>
        <v>350.25</v>
      </c>
    </row>
    <row r="35" spans="15:39" ht="15" customHeight="1" x14ac:dyDescent="0.2">
      <c r="O35" s="83" t="s">
        <v>70</v>
      </c>
      <c r="P35" s="17">
        <f>H5</f>
        <v>285</v>
      </c>
      <c r="Q35" s="2"/>
      <c r="R35" s="17">
        <f>RADIANS(P35)</f>
        <v>4.9741883681838388</v>
      </c>
      <c r="S35" s="2"/>
      <c r="T35" s="2" t="s">
        <v>112</v>
      </c>
      <c r="U35" s="17">
        <f>RADIANS(90)-R35</f>
        <v>-3.4033920413889422</v>
      </c>
      <c r="V35" s="2"/>
      <c r="W35" s="2" t="s">
        <v>114</v>
      </c>
      <c r="X35" s="554">
        <f>P34*(SIN(U33)*COS(U35)-COS(U33)*SIN(U35))</f>
        <v>-2.4999999999999964</v>
      </c>
    </row>
    <row r="36" spans="15:39" ht="15" customHeight="1" x14ac:dyDescent="0.2">
      <c r="AH36" s="163"/>
      <c r="AI36" s="163"/>
      <c r="AJ36" s="163"/>
      <c r="AK36" s="163"/>
    </row>
    <row r="37" spans="15:39" ht="15" customHeight="1" x14ac:dyDescent="0.2">
      <c r="O37" s="2"/>
      <c r="W37" s="1" t="s">
        <v>4</v>
      </c>
      <c r="AH37" s="5"/>
      <c r="AI37" s="5"/>
      <c r="AJ37" s="5"/>
      <c r="AK37" s="5"/>
    </row>
    <row r="38" spans="15:39" ht="15" customHeight="1" x14ac:dyDescent="0.2">
      <c r="O38"/>
      <c r="AH38"/>
      <c r="AI38"/>
      <c r="AJ38"/>
      <c r="AK38"/>
    </row>
    <row r="39" spans="15:39" ht="15" customHeight="1" x14ac:dyDescent="0.2">
      <c r="O39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5:39" ht="15" customHeight="1" x14ac:dyDescent="0.2">
      <c r="O40"/>
      <c r="Y40" s="4"/>
      <c r="Z40" s="4"/>
      <c r="AA40" s="4"/>
      <c r="AB40" s="4"/>
      <c r="AC40" s="2"/>
      <c r="AD40" s="2"/>
      <c r="AE40" s="4"/>
      <c r="AF40" s="4"/>
      <c r="AG40" s="4"/>
      <c r="AH40" s="4"/>
      <c r="AI40" s="2"/>
      <c r="AJ40" s="2"/>
    </row>
    <row r="41" spans="15:39" ht="15" customHeight="1" x14ac:dyDescent="0.2">
      <c r="O41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5"/>
      <c r="AL41" s="5"/>
      <c r="AM41" s="5"/>
    </row>
    <row r="42" spans="15:39" ht="15" customHeight="1" x14ac:dyDescent="0.2">
      <c r="Y42" s="4"/>
      <c r="Z42" s="4"/>
      <c r="AA42" s="2"/>
      <c r="AB42" s="2"/>
      <c r="AC42" s="2"/>
      <c r="AD42" s="2"/>
      <c r="AE42" s="4"/>
      <c r="AF42" s="4"/>
      <c r="AG42" s="2"/>
      <c r="AH42" s="2"/>
      <c r="AI42" s="2"/>
      <c r="AJ42" s="2"/>
    </row>
    <row r="43" spans="15:39" ht="15" customHeight="1" x14ac:dyDescent="0.2"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L43" s="268"/>
    </row>
    <row r="44" spans="15:39" ht="15" customHeight="1" x14ac:dyDescent="0.2"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L44" s="43"/>
    </row>
    <row r="45" spans="15:39" ht="15" customHeight="1" x14ac:dyDescent="0.2">
      <c r="AH45" s="5"/>
      <c r="AJ45" s="43"/>
      <c r="AL45" s="268"/>
    </row>
    <row r="46" spans="15:39" ht="15" customHeight="1" x14ac:dyDescent="0.2">
      <c r="O46" s="1" t="s">
        <v>4</v>
      </c>
      <c r="AG46" s="1" t="s">
        <v>4</v>
      </c>
    </row>
    <row r="47" spans="15:39" ht="15" customHeight="1" x14ac:dyDescent="0.2">
      <c r="O47"/>
      <c r="AH47" s="5"/>
      <c r="AI47" s="5"/>
      <c r="AJ47" s="5"/>
      <c r="AK47" s="5"/>
    </row>
    <row r="48" spans="15:39" ht="15" customHeight="1" x14ac:dyDescent="0.2">
      <c r="O48"/>
      <c r="AH48" s="5"/>
      <c r="AI48" s="5"/>
      <c r="AJ48" s="5"/>
      <c r="AK48" s="5"/>
    </row>
    <row r="49" spans="15:37" ht="15" customHeight="1" x14ac:dyDescent="0.2">
      <c r="O49" s="21"/>
      <c r="AH49"/>
      <c r="AI49"/>
      <c r="AJ49"/>
      <c r="AK49"/>
    </row>
    <row r="50" spans="15:37" ht="15" customHeight="1" x14ac:dyDescent="0.2">
      <c r="O50"/>
      <c r="AC50" s="1" t="s">
        <v>4</v>
      </c>
    </row>
    <row r="51" spans="15:37" ht="15" customHeight="1" x14ac:dyDescent="0.2">
      <c r="O51"/>
    </row>
    <row r="52" spans="15:37" ht="15" customHeight="1" x14ac:dyDescent="0.2">
      <c r="O52"/>
      <c r="AH52" s="5"/>
      <c r="AI52" s="5"/>
    </row>
    <row r="53" spans="15:37" ht="15" customHeight="1" thickBot="1" x14ac:dyDescent="0.25">
      <c r="O53"/>
      <c r="AA53" s="1" t="s">
        <v>40</v>
      </c>
      <c r="AD53" s="1" t="s">
        <v>41</v>
      </c>
      <c r="AG53" s="1" t="s">
        <v>185</v>
      </c>
      <c r="AH53"/>
      <c r="AI53" s="4"/>
      <c r="AJ53" s="4" t="s">
        <v>186</v>
      </c>
      <c r="AK53" s="4"/>
    </row>
    <row r="54" spans="15:37" ht="15" customHeight="1" x14ac:dyDescent="0.2">
      <c r="O54" s="36"/>
      <c r="W54" s="2"/>
      <c r="X54" s="2"/>
      <c r="Y54" s="460" t="s">
        <v>27</v>
      </c>
      <c r="Z54" s="237"/>
      <c r="AA54" s="423">
        <v>185</v>
      </c>
      <c r="AB54" s="238">
        <v>5.0000000000000001E-3</v>
      </c>
      <c r="AC54" s="2"/>
      <c r="AD54" s="412">
        <v>280</v>
      </c>
      <c r="AE54" s="413">
        <v>7.4999999999999997E-3</v>
      </c>
      <c r="AG54" s="423">
        <v>435</v>
      </c>
      <c r="AH54" s="238">
        <v>0.01</v>
      </c>
      <c r="AI54"/>
      <c r="AJ54" s="412">
        <v>530</v>
      </c>
      <c r="AK54" s="413">
        <v>1.2500000000000001E-2</v>
      </c>
    </row>
    <row r="55" spans="15:37" ht="15" customHeight="1" x14ac:dyDescent="0.2">
      <c r="O55" s="37"/>
      <c r="W55" s="839" t="s">
        <v>187</v>
      </c>
      <c r="X55" s="956"/>
      <c r="Y55" s="461" t="s">
        <v>14</v>
      </c>
      <c r="Z55" s="237"/>
      <c r="AA55" s="424">
        <v>200</v>
      </c>
      <c r="AB55" s="408">
        <v>6.2500000000000003E-3</v>
      </c>
      <c r="AD55" s="414">
        <v>300</v>
      </c>
      <c r="AE55" s="415">
        <v>8.7500000000000008E-3</v>
      </c>
      <c r="AG55" s="424">
        <v>460</v>
      </c>
      <c r="AH55" s="408">
        <v>1.125E-2</v>
      </c>
      <c r="AI55"/>
      <c r="AJ55" s="414">
        <v>560</v>
      </c>
      <c r="AK55" s="415">
        <v>1.375E-2</v>
      </c>
    </row>
    <row r="56" spans="15:37" ht="15" customHeight="1" thickBot="1" x14ac:dyDescent="0.25">
      <c r="O56" s="36"/>
      <c r="Y56" s="462" t="s">
        <v>28</v>
      </c>
      <c r="Z56" s="237"/>
      <c r="AA56" s="425">
        <v>210</v>
      </c>
      <c r="AB56" s="411">
        <v>7.4999999999999997E-3</v>
      </c>
      <c r="AD56" s="416">
        <v>325</v>
      </c>
      <c r="AE56" s="417">
        <v>8.7500000000000008E-3</v>
      </c>
      <c r="AG56" s="425">
        <v>485</v>
      </c>
      <c r="AH56" s="411">
        <v>1.2500000000000001E-2</v>
      </c>
      <c r="AI56"/>
      <c r="AJ56" s="426">
        <v>590</v>
      </c>
      <c r="AK56" s="427">
        <v>1.6250000000000001E-2</v>
      </c>
    </row>
    <row r="57" spans="15:37" ht="15" customHeight="1" x14ac:dyDescent="0.2">
      <c r="O57" s="2"/>
      <c r="AG57" s="16"/>
      <c r="AH57" s="21"/>
      <c r="AI57"/>
      <c r="AJ57"/>
      <c r="AK57"/>
    </row>
    <row r="58" spans="15:37" ht="15" customHeight="1" thickBot="1" x14ac:dyDescent="0.25">
      <c r="O58" s="2"/>
      <c r="W58" s="237"/>
      <c r="X58" s="237"/>
      <c r="Y58" s="405"/>
      <c r="Z58" s="237"/>
      <c r="AA58" s="237" t="s">
        <v>40</v>
      </c>
      <c r="AB58" s="237"/>
      <c r="AC58" s="237"/>
      <c r="AD58" s="237" t="s">
        <v>41</v>
      </c>
      <c r="AE58" s="237"/>
      <c r="AF58" s="237"/>
      <c r="AG58" s="237" t="s">
        <v>186</v>
      </c>
      <c r="AH58" s="237"/>
      <c r="AI58" s="237"/>
      <c r="AJ58" t="s">
        <v>186</v>
      </c>
      <c r="AK58"/>
    </row>
    <row r="59" spans="15:37" ht="15" customHeight="1" x14ac:dyDescent="0.2">
      <c r="O59" s="2"/>
      <c r="Y59" s="463" t="s">
        <v>27</v>
      </c>
      <c r="Z59" s="237"/>
      <c r="AA59" s="423">
        <v>175</v>
      </c>
      <c r="AB59" s="238">
        <v>7.4999999999999997E-3</v>
      </c>
      <c r="AD59" s="412">
        <v>270</v>
      </c>
      <c r="AE59" s="413">
        <v>0.01</v>
      </c>
      <c r="AG59" s="423">
        <v>425</v>
      </c>
      <c r="AH59" s="238">
        <v>1.2500000000000001E-2</v>
      </c>
      <c r="AI59"/>
      <c r="AJ59" s="412">
        <v>520</v>
      </c>
      <c r="AK59" s="413">
        <v>1.4999999999999999E-2</v>
      </c>
    </row>
    <row r="60" spans="15:37" ht="15" customHeight="1" x14ac:dyDescent="0.2">
      <c r="O60" s="2"/>
      <c r="W60" s="955" t="s">
        <v>188</v>
      </c>
      <c r="X60" s="955"/>
      <c r="Y60" s="464" t="s">
        <v>14</v>
      </c>
      <c r="Z60" s="237"/>
      <c r="AA60" s="424">
        <v>200</v>
      </c>
      <c r="AB60" s="408">
        <v>6.2500000000000003E-3</v>
      </c>
      <c r="AD60" s="414">
        <v>295</v>
      </c>
      <c r="AE60" s="415">
        <v>0.01</v>
      </c>
      <c r="AG60" s="424">
        <v>455</v>
      </c>
      <c r="AH60" s="408">
        <v>1.2500000000000001E-2</v>
      </c>
      <c r="AI60"/>
      <c r="AJ60" s="414">
        <v>550</v>
      </c>
      <c r="AK60" s="415">
        <v>1.6250000000000001E-2</v>
      </c>
    </row>
    <row r="61" spans="15:37" ht="15" customHeight="1" thickBot="1" x14ac:dyDescent="0.25">
      <c r="O61" s="2"/>
      <c r="W61" s="237"/>
      <c r="X61" s="237"/>
      <c r="Y61" s="465" t="s">
        <v>28</v>
      </c>
      <c r="Z61" s="237"/>
      <c r="AA61" s="425">
        <v>210</v>
      </c>
      <c r="AB61" s="411">
        <v>7.4999999999999997E-3</v>
      </c>
      <c r="AD61" s="397">
        <v>315</v>
      </c>
      <c r="AE61" s="422">
        <v>1.125E-2</v>
      </c>
      <c r="AG61" s="425">
        <v>480</v>
      </c>
      <c r="AH61" s="411">
        <v>1.375E-2</v>
      </c>
      <c r="AI61"/>
      <c r="AJ61" s="421">
        <v>585</v>
      </c>
      <c r="AK61" s="422">
        <v>1.7500000000000002E-2</v>
      </c>
    </row>
    <row r="62" spans="15:37" ht="15" customHeight="1" x14ac:dyDescent="0.2">
      <c r="O62" s="2"/>
    </row>
    <row r="63" spans="15:37" ht="15" customHeight="1" x14ac:dyDescent="0.2"/>
    <row r="64" spans="15:37" ht="15" customHeight="1" x14ac:dyDescent="0.2">
      <c r="O64" s="2"/>
      <c r="W64" s="1" t="s">
        <v>4</v>
      </c>
    </row>
    <row r="65" spans="15:37" ht="15" customHeight="1" x14ac:dyDescent="0.2"/>
    <row r="66" spans="15:37" ht="15" customHeight="1" x14ac:dyDescent="0.2"/>
    <row r="67" spans="15:37" ht="15" customHeight="1" x14ac:dyDescent="0.2"/>
    <row r="68" spans="15:37" ht="15" customHeight="1" x14ac:dyDescent="0.2"/>
    <row r="69" spans="15:37" ht="15" customHeight="1" x14ac:dyDescent="0.2"/>
    <row r="70" spans="15:37" ht="15" customHeight="1" x14ac:dyDescent="0.2">
      <c r="O70" s="16"/>
    </row>
    <row r="71" spans="15:37" ht="15" customHeight="1" x14ac:dyDescent="0.2"/>
    <row r="72" spans="15:37" ht="15" customHeight="1" x14ac:dyDescent="0.2"/>
    <row r="73" spans="15:37" ht="15" customHeight="1" x14ac:dyDescent="0.2"/>
    <row r="74" spans="15:37" ht="15" customHeight="1" thickBot="1" x14ac:dyDescent="0.25">
      <c r="AA74" s="1" t="s">
        <v>40</v>
      </c>
      <c r="AD74" s="1" t="s">
        <v>41</v>
      </c>
      <c r="AG74" s="1" t="s">
        <v>185</v>
      </c>
      <c r="AH74"/>
      <c r="AI74" s="4"/>
      <c r="AJ74" s="4" t="s">
        <v>186</v>
      </c>
      <c r="AK74" s="4"/>
    </row>
    <row r="75" spans="15:37" ht="15" customHeight="1" x14ac:dyDescent="0.2">
      <c r="O75" s="2"/>
      <c r="W75" s="2"/>
      <c r="X75" s="2"/>
      <c r="Y75" s="460" t="s">
        <v>27</v>
      </c>
      <c r="Z75" s="237"/>
      <c r="AA75" s="423">
        <v>145</v>
      </c>
      <c r="AB75" s="238">
        <v>3.7499999999999999E-3</v>
      </c>
      <c r="AC75" s="2"/>
      <c r="AD75" s="412">
        <v>215</v>
      </c>
      <c r="AE75" s="413">
        <v>6.2500000000000003E-3</v>
      </c>
      <c r="AG75" s="423">
        <v>365</v>
      </c>
      <c r="AH75" s="238">
        <v>7.4999999999999997E-3</v>
      </c>
      <c r="AI75"/>
      <c r="AJ75" s="412">
        <v>435</v>
      </c>
      <c r="AK75" s="413">
        <v>0.01</v>
      </c>
    </row>
    <row r="76" spans="15:37" ht="15" customHeight="1" x14ac:dyDescent="0.2">
      <c r="O76" s="2"/>
      <c r="W76" s="839" t="s">
        <v>187</v>
      </c>
      <c r="X76" s="956"/>
      <c r="Y76" s="461" t="s">
        <v>14</v>
      </c>
      <c r="Z76" s="237"/>
      <c r="AA76" s="424">
        <v>155</v>
      </c>
      <c r="AB76" s="408">
        <v>5.0000000000000001E-3</v>
      </c>
      <c r="AD76" s="414">
        <v>230</v>
      </c>
      <c r="AE76" s="415">
        <v>7.4999999999999997E-3</v>
      </c>
      <c r="AG76" s="424">
        <v>385</v>
      </c>
      <c r="AH76" s="408">
        <v>8.7500000000000008E-3</v>
      </c>
      <c r="AI76"/>
      <c r="AJ76" s="414">
        <v>460</v>
      </c>
      <c r="AK76" s="415">
        <v>1.125E-2</v>
      </c>
    </row>
    <row r="77" spans="15:37" ht="15" customHeight="1" thickBot="1" x14ac:dyDescent="0.25">
      <c r="O77" s="2"/>
      <c r="Y77" s="462" t="s">
        <v>28</v>
      </c>
      <c r="Z77" s="237"/>
      <c r="AA77" s="425">
        <v>165</v>
      </c>
      <c r="AB77" s="411">
        <v>5.0000000000000001E-3</v>
      </c>
      <c r="AD77" s="416">
        <v>250</v>
      </c>
      <c r="AE77" s="417">
        <v>8.7500000000000008E-3</v>
      </c>
      <c r="AG77" s="425">
        <v>400</v>
      </c>
      <c r="AH77" s="411">
        <v>0.01</v>
      </c>
      <c r="AI77"/>
      <c r="AJ77" s="426">
        <v>485</v>
      </c>
      <c r="AK77" s="427">
        <v>1.125E-2</v>
      </c>
    </row>
    <row r="78" spans="15:37" ht="15" customHeight="1" x14ac:dyDescent="0.2">
      <c r="O78" s="2"/>
      <c r="AG78" s="16"/>
      <c r="AH78" s="21"/>
      <c r="AI78"/>
      <c r="AJ78"/>
      <c r="AK78"/>
    </row>
    <row r="79" spans="15:37" ht="15" customHeight="1" thickBot="1" x14ac:dyDescent="0.25">
      <c r="O79" s="2"/>
      <c r="W79" s="237"/>
      <c r="X79" s="237"/>
      <c r="Y79" s="405"/>
      <c r="Z79" s="237"/>
      <c r="AA79" s="237" t="s">
        <v>40</v>
      </c>
      <c r="AB79" s="237"/>
      <c r="AC79" s="237"/>
      <c r="AD79" s="237" t="s">
        <v>41</v>
      </c>
      <c r="AE79" s="237"/>
      <c r="AF79" s="237"/>
      <c r="AG79" s="237" t="s">
        <v>186</v>
      </c>
      <c r="AH79" s="237"/>
      <c r="AI79" s="237"/>
      <c r="AJ79" t="s">
        <v>186</v>
      </c>
      <c r="AK79"/>
    </row>
    <row r="80" spans="15:37" ht="15" customHeight="1" x14ac:dyDescent="0.2">
      <c r="O80" s="2"/>
      <c r="Y80" s="463" t="s">
        <v>27</v>
      </c>
      <c r="Z80" s="237"/>
      <c r="AA80" s="423">
        <v>140</v>
      </c>
      <c r="AB80" s="238">
        <v>5.0000000000000001E-3</v>
      </c>
      <c r="AD80" s="412">
        <v>205</v>
      </c>
      <c r="AE80" s="413">
        <v>8.7500000000000008E-3</v>
      </c>
      <c r="AG80" s="423">
        <v>360</v>
      </c>
      <c r="AH80" s="238">
        <v>8.7500000000000008E-3</v>
      </c>
      <c r="AI80"/>
      <c r="AJ80" s="412">
        <v>425</v>
      </c>
      <c r="AK80" s="413">
        <v>1.2500000000000001E-2</v>
      </c>
    </row>
    <row r="81" spans="15:37" ht="15" customHeight="1" x14ac:dyDescent="0.2">
      <c r="O81" s="2"/>
      <c r="W81" s="955" t="s">
        <v>188</v>
      </c>
      <c r="X81" s="955"/>
      <c r="Y81" s="464" t="s">
        <v>14</v>
      </c>
      <c r="Z81" s="237"/>
      <c r="AA81" s="424">
        <v>155</v>
      </c>
      <c r="AB81" s="408">
        <v>5.0000000000000001E-3</v>
      </c>
      <c r="AD81" s="414">
        <v>230</v>
      </c>
      <c r="AE81" s="415">
        <v>7.4999999999999997E-3</v>
      </c>
      <c r="AG81" s="424">
        <v>380</v>
      </c>
      <c r="AH81" s="408">
        <v>0.01</v>
      </c>
      <c r="AI81"/>
      <c r="AJ81" s="414">
        <v>495</v>
      </c>
      <c r="AK81" s="415">
        <v>1.2500000000000001E-2</v>
      </c>
    </row>
    <row r="82" spans="15:37" ht="15" customHeight="1" thickBot="1" x14ac:dyDescent="0.25">
      <c r="O82" s="2"/>
      <c r="W82" s="237"/>
      <c r="X82" s="237"/>
      <c r="Y82" s="465" t="s">
        <v>28</v>
      </c>
      <c r="Z82" s="237"/>
      <c r="AA82" s="425">
        <v>160</v>
      </c>
      <c r="AB82" s="411">
        <v>6.2500000000000003E-3</v>
      </c>
      <c r="AD82" s="397">
        <v>255</v>
      </c>
      <c r="AE82" s="422">
        <v>7.4999999999999997E-3</v>
      </c>
      <c r="AG82" s="425">
        <v>395</v>
      </c>
      <c r="AH82" s="411">
        <v>1.125E-2</v>
      </c>
      <c r="AI82"/>
      <c r="AJ82" s="421">
        <v>470</v>
      </c>
      <c r="AK82" s="422">
        <v>1.4999999999999999E-2</v>
      </c>
    </row>
    <row r="83" spans="15:37" ht="15" customHeight="1" x14ac:dyDescent="0.2">
      <c r="O83"/>
    </row>
    <row r="84" spans="15:37" ht="15" customHeight="1" x14ac:dyDescent="0.2">
      <c r="O84"/>
    </row>
    <row r="85" spans="15:37" ht="15" customHeight="1" x14ac:dyDescent="0.2">
      <c r="O85"/>
    </row>
    <row r="86" spans="15:37" ht="15" customHeight="1" x14ac:dyDescent="0.2">
      <c r="O86"/>
    </row>
    <row r="87" spans="15:37" ht="15" customHeight="1" x14ac:dyDescent="0.2">
      <c r="O87"/>
    </row>
    <row r="88" spans="15:37" ht="15" customHeight="1" x14ac:dyDescent="0.2">
      <c r="O88"/>
    </row>
    <row r="89" spans="15:37" ht="15" customHeight="1" x14ac:dyDescent="0.2">
      <c r="O89"/>
    </row>
    <row r="90" spans="15:37" ht="15" customHeight="1" x14ac:dyDescent="0.2">
      <c r="O90"/>
    </row>
    <row r="91" spans="15:37" ht="15" customHeight="1" x14ac:dyDescent="0.2">
      <c r="O91"/>
    </row>
    <row r="92" spans="15:37" ht="79.5" customHeight="1" x14ac:dyDescent="0.2">
      <c r="O92"/>
    </row>
    <row r="93" spans="15:37" ht="15" customHeight="1" x14ac:dyDescent="0.2">
      <c r="O93"/>
    </row>
    <row r="94" spans="15:37" ht="15" customHeight="1" x14ac:dyDescent="0.2">
      <c r="O94"/>
    </row>
    <row r="95" spans="15:37" ht="15" customHeight="1" x14ac:dyDescent="0.2">
      <c r="O95" s="1" t="s">
        <v>108</v>
      </c>
      <c r="P95" s="1"/>
      <c r="Q95" s="1"/>
      <c r="R95" s="1"/>
      <c r="S95" s="1"/>
      <c r="T95" s="1"/>
      <c r="U95" s="1"/>
      <c r="V95" s="1"/>
    </row>
    <row r="96" spans="15:37" ht="15" customHeight="1" x14ac:dyDescent="0.2">
      <c r="O96" s="83" t="s">
        <v>109</v>
      </c>
      <c r="P96" s="3">
        <f>H6</f>
        <v>255</v>
      </c>
      <c r="Q96" s="1"/>
      <c r="R96" s="3">
        <f>RADIANS(P96)</f>
        <v>4.4505895925855405</v>
      </c>
      <c r="S96" s="1"/>
      <c r="T96" s="1" t="s">
        <v>111</v>
      </c>
      <c r="U96" s="3">
        <f>RADIANS(270)-R96</f>
        <v>0.26179938779914913</v>
      </c>
      <c r="V96" s="1"/>
      <c r="W96" s="1" t="s">
        <v>113</v>
      </c>
      <c r="X96" s="3">
        <f>P97*(COS(U96)*COS(U98)+SIN(U96)*SIN(U98))</f>
        <v>-4.3301270189221954</v>
      </c>
    </row>
    <row r="97" spans="15:24" ht="15" customHeight="1" x14ac:dyDescent="0.2">
      <c r="O97" s="83" t="s">
        <v>110</v>
      </c>
      <c r="P97" s="3">
        <f>H7</f>
        <v>5</v>
      </c>
      <c r="Q97" s="1"/>
      <c r="R97" s="1"/>
      <c r="S97" s="1"/>
      <c r="T97" s="1"/>
      <c r="U97" s="1"/>
      <c r="V97" s="1"/>
    </row>
    <row r="98" spans="15:24" ht="15" customHeight="1" x14ac:dyDescent="0.2">
      <c r="O98" s="83" t="s">
        <v>70</v>
      </c>
      <c r="P98" s="3">
        <f>H5</f>
        <v>285</v>
      </c>
      <c r="Q98" s="1"/>
      <c r="R98" s="3">
        <f>RADIANS(P98)</f>
        <v>4.9741883681838388</v>
      </c>
      <c r="S98" s="1"/>
      <c r="T98" s="1" t="s">
        <v>112</v>
      </c>
      <c r="U98" s="3">
        <f>RADIANS(90)-R98</f>
        <v>-3.4033920413889422</v>
      </c>
      <c r="V98" s="1"/>
      <c r="W98" s="1" t="s">
        <v>114</v>
      </c>
      <c r="X98" s="84">
        <f>P97*(SIN(U96)*COS(U98)-COS(U96)*SIN(U98))</f>
        <v>-2.4999999999999964</v>
      </c>
    </row>
  </sheetData>
  <mergeCells count="23">
    <mergeCell ref="W60:X60"/>
    <mergeCell ref="W76:X76"/>
    <mergeCell ref="W81:X81"/>
    <mergeCell ref="O18:P18"/>
    <mergeCell ref="F19:M19"/>
    <mergeCell ref="W23:X23"/>
    <mergeCell ref="W6:X6"/>
    <mergeCell ref="AC6:AD6"/>
    <mergeCell ref="AC23:AD23"/>
    <mergeCell ref="B25:D25"/>
    <mergeCell ref="W55:X55"/>
    <mergeCell ref="K7:L7"/>
    <mergeCell ref="K9:L9"/>
    <mergeCell ref="W11:X11"/>
    <mergeCell ref="AC11:AD11"/>
    <mergeCell ref="F15:M15"/>
    <mergeCell ref="W17:X17"/>
    <mergeCell ref="AC17:AD17"/>
    <mergeCell ref="B1:D1"/>
    <mergeCell ref="F1:M1"/>
    <mergeCell ref="AR2:AS2"/>
    <mergeCell ref="G3:H3"/>
    <mergeCell ref="K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6</vt:i4>
      </vt:variant>
    </vt:vector>
  </HeadingPairs>
  <TitlesOfParts>
    <vt:vector size="16" baseType="lpstr">
      <vt:lpstr>F-HOOD et F-HERD</vt:lpstr>
      <vt:lpstr>F-HEBJ </vt:lpstr>
      <vt:lpstr>F-GAJB</vt:lpstr>
      <vt:lpstr>F-GCUA</vt:lpstr>
      <vt:lpstr>F-GBUR</vt:lpstr>
      <vt:lpstr>F-GCAT</vt:lpstr>
      <vt:lpstr>F-GNNM</vt:lpstr>
      <vt:lpstr>F-GFPJ</vt:lpstr>
      <vt:lpstr>F-BOOR</vt:lpstr>
      <vt:lpstr>F-JUJN</vt:lpstr>
      <vt:lpstr>'F-GAJB'!Zone_d_impression</vt:lpstr>
      <vt:lpstr>'F-GCAT'!Zone_d_impression</vt:lpstr>
      <vt:lpstr>'F-GCUA'!Zone_d_impression</vt:lpstr>
      <vt:lpstr>'F-GFPJ'!Zone_d_impression</vt:lpstr>
      <vt:lpstr>'F-GNNM'!Zone_d_impression</vt:lpstr>
      <vt:lpstr>'F-HEBJ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</dc:creator>
  <cp:lastModifiedBy>Luc Lotteau</cp:lastModifiedBy>
  <cp:lastPrinted>2013-11-10T14:11:18Z</cp:lastPrinted>
  <dcterms:created xsi:type="dcterms:W3CDTF">2004-09-20T08:25:03Z</dcterms:created>
  <dcterms:modified xsi:type="dcterms:W3CDTF">2025-06-12T11:32:23Z</dcterms:modified>
</cp:coreProperties>
</file>